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autoCompressPictures="0"/>
  <mc:AlternateContent xmlns:mc="http://schemas.openxmlformats.org/markup-compatibility/2006">
    <mc:Choice Requires="x15">
      <x15ac:absPath xmlns:x15ac="http://schemas.microsoft.com/office/spreadsheetml/2010/11/ac" url="C:\Users\lcumber\Desktop\Maine 2024\Package\"/>
    </mc:Choice>
  </mc:AlternateContent>
  <xr:revisionPtr revIDLastSave="0" documentId="8_{BDB4227F-D3CC-45C3-8C5E-2B58F6EDDC5D}" xr6:coauthVersionLast="47" xr6:coauthVersionMax="47" xr10:uidLastSave="{00000000-0000-0000-0000-000000000000}"/>
  <bookViews>
    <workbookView xWindow="-110" yWindow="-110" windowWidth="19420" windowHeight="11500" tabRatio="1000" activeTab="4" xr2:uid="{00000000-000D-0000-FFFF-FFFF00000000}"/>
  </bookViews>
  <sheets>
    <sheet name="Summary" sheetId="1" r:id="rId1"/>
    <sheet name="Initial Capital Cost" sheetId="2" r:id="rId2"/>
    <sheet name="Tug Boat Emissions" sheetId="8" r:id="rId3"/>
    <sheet name="Travel Time Tug Boat" sheetId="26" r:id="rId4"/>
    <sheet name="Wind Energy Emissions" sheetId="25" r:id="rId5"/>
    <sheet name="Residual Value" sheetId="30" r:id="rId6"/>
    <sheet name="MT Per GW Emissions" sheetId="28" r:id="rId7"/>
    <sheet name="Turbines and MW" sheetId="29" r:id="rId8"/>
    <sheet name="Benefit Cost Ratio" sheetId="16" r:id="rId9"/>
  </sheets>
  <definedNames>
    <definedName name="_ftn2" localSheetId="0">Summary!$D$6</definedName>
    <definedName name="A">'Tug Boat Emissions'!#REF!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8" i="2" l="1"/>
  <c r="T75" i="25"/>
  <c r="T39" i="25"/>
  <c r="V75" i="25"/>
  <c r="K39" i="25"/>
  <c r="W75" i="25"/>
  <c r="Q75" i="25"/>
  <c r="R75" i="25"/>
  <c r="X38" i="25"/>
  <c r="W38" i="25"/>
  <c r="Q39" i="25"/>
  <c r="N39" i="25"/>
  <c r="N33" i="25"/>
  <c r="N32" i="25"/>
  <c r="N31" i="25"/>
  <c r="N30" i="25"/>
  <c r="N29" i="25"/>
  <c r="Q33" i="25"/>
  <c r="Q32" i="25"/>
  <c r="Q31" i="25"/>
  <c r="Q30" i="25"/>
  <c r="Q29" i="25"/>
  <c r="Q28" i="25"/>
  <c r="Q27" i="25"/>
  <c r="Q26" i="25"/>
  <c r="Q25" i="25"/>
  <c r="Q24" i="25"/>
  <c r="Q23" i="25"/>
  <c r="Q22" i="25"/>
  <c r="Q21" i="25"/>
  <c r="Q20" i="25"/>
  <c r="Q19" i="25"/>
  <c r="Q18" i="25"/>
  <c r="Q17" i="25"/>
  <c r="Q16" i="25"/>
  <c r="Q15" i="25"/>
  <c r="Q14" i="25"/>
  <c r="Q13" i="25"/>
  <c r="Q12" i="25"/>
  <c r="Q11" i="25"/>
  <c r="Q10" i="25"/>
  <c r="Q74" i="25"/>
  <c r="Q73" i="25"/>
  <c r="Q72" i="25"/>
  <c r="Q71" i="25"/>
  <c r="Q70" i="25"/>
  <c r="Q69" i="25"/>
  <c r="Q68" i="25"/>
  <c r="Q67" i="25"/>
  <c r="Q66" i="25"/>
  <c r="Q65" i="25"/>
  <c r="Q64" i="25"/>
  <c r="Q63" i="25"/>
  <c r="Q62" i="25"/>
  <c r="Q61" i="25"/>
  <c r="Q60" i="25"/>
  <c r="Q59" i="25"/>
  <c r="Q58" i="25"/>
  <c r="Q57" i="25"/>
  <c r="Q56" i="25"/>
  <c r="Q55" i="25"/>
  <c r="K75" i="25"/>
  <c r="U75" i="25"/>
  <c r="N75" i="25"/>
  <c r="AF33" i="8"/>
  <c r="T33" i="8"/>
  <c r="AE33" i="8"/>
  <c r="M33" i="8"/>
  <c r="AD33" i="8"/>
  <c r="Z33" i="8"/>
  <c r="E6" i="30"/>
  <c r="F6" i="30" s="1"/>
  <c r="G6" i="30" s="1"/>
  <c r="E4" i="30"/>
  <c r="F4" i="30"/>
  <c r="G4" i="30" s="1"/>
  <c r="AB58" i="8"/>
  <c r="AB57" i="8"/>
  <c r="AB56" i="8"/>
  <c r="AB55" i="8"/>
  <c r="AA58" i="8"/>
  <c r="AA57" i="8"/>
  <c r="AA56" i="8"/>
  <c r="AA55" i="8"/>
  <c r="Z58" i="8"/>
  <c r="Z57" i="8"/>
  <c r="Z56" i="8"/>
  <c r="Z55" i="8"/>
  <c r="Y58" i="8"/>
  <c r="Y57" i="8"/>
  <c r="Y56" i="8"/>
  <c r="Y55" i="8"/>
  <c r="Y54" i="8"/>
  <c r="Z54" i="8" s="1"/>
  <c r="AA54" i="8" s="1"/>
  <c r="AB54" i="8" s="1"/>
  <c r="X58" i="8"/>
  <c r="X57" i="8"/>
  <c r="X56" i="8"/>
  <c r="X55" i="8"/>
  <c r="X54" i="8"/>
  <c r="R58" i="8"/>
  <c r="R57" i="8"/>
  <c r="R56" i="8"/>
  <c r="R55" i="8"/>
  <c r="S55" i="8" s="1"/>
  <c r="T55" i="8" s="1"/>
  <c r="AC55" i="8" s="1"/>
  <c r="R54" i="8"/>
  <c r="S54" i="8" s="1"/>
  <c r="T54" i="8" s="1"/>
  <c r="Q58" i="8"/>
  <c r="S58" i="8" s="1"/>
  <c r="T58" i="8" s="1"/>
  <c r="AC58" i="8" s="1"/>
  <c r="Q57" i="8"/>
  <c r="S57" i="8" s="1"/>
  <c r="T57" i="8" s="1"/>
  <c r="AC57" i="8" s="1"/>
  <c r="Q56" i="8"/>
  <c r="S56" i="8" s="1"/>
  <c r="T56" i="8" s="1"/>
  <c r="AC56" i="8" s="1"/>
  <c r="Q55" i="8"/>
  <c r="Q54" i="8"/>
  <c r="M58" i="8"/>
  <c r="M57" i="8"/>
  <c r="M56" i="8"/>
  <c r="M55" i="8"/>
  <c r="M54" i="8"/>
  <c r="L58" i="8"/>
  <c r="L57" i="8"/>
  <c r="L56" i="8"/>
  <c r="L55" i="8"/>
  <c r="L54" i="8"/>
  <c r="K58" i="8"/>
  <c r="K57" i="8"/>
  <c r="K56" i="8"/>
  <c r="K55" i="8"/>
  <c r="K54" i="8"/>
  <c r="C54" i="8"/>
  <c r="C55" i="8"/>
  <c r="C56" i="8"/>
  <c r="C57" i="8"/>
  <c r="C58" i="8"/>
  <c r="D54" i="8"/>
  <c r="D55" i="8"/>
  <c r="D56" i="8"/>
  <c r="D57" i="8"/>
  <c r="D58" i="8"/>
  <c r="E65" i="8"/>
  <c r="E66" i="8" s="1"/>
  <c r="E67" i="8" s="1"/>
  <c r="E68" i="8" s="1"/>
  <c r="E69" i="8" s="1"/>
  <c r="E70" i="8" s="1"/>
  <c r="E55" i="8"/>
  <c r="E56" i="8" s="1"/>
  <c r="E57" i="8" s="1"/>
  <c r="E58" i="8" s="1"/>
  <c r="E59" i="8" s="1"/>
  <c r="E60" i="8" s="1"/>
  <c r="E61" i="8" s="1"/>
  <c r="E62" i="8" s="1"/>
  <c r="E63" i="8" s="1"/>
  <c r="O28" i="26"/>
  <c r="O27" i="26"/>
  <c r="O26" i="26"/>
  <c r="O25" i="26"/>
  <c r="O24" i="26"/>
  <c r="O23" i="26"/>
  <c r="O22" i="26"/>
  <c r="O21" i="26"/>
  <c r="O20" i="26"/>
  <c r="O19" i="26"/>
  <c r="O18" i="26"/>
  <c r="O17" i="26"/>
  <c r="O16" i="26"/>
  <c r="O15" i="26"/>
  <c r="O14" i="26"/>
  <c r="O13" i="26"/>
  <c r="O12" i="26"/>
  <c r="O11" i="26"/>
  <c r="O10" i="26"/>
  <c r="O9" i="26"/>
  <c r="N28" i="26"/>
  <c r="N27" i="26"/>
  <c r="N26" i="26"/>
  <c r="N25" i="26"/>
  <c r="N24" i="26"/>
  <c r="N23" i="26"/>
  <c r="N22" i="26"/>
  <c r="N21" i="26"/>
  <c r="N20" i="26"/>
  <c r="N19" i="26"/>
  <c r="N18" i="26"/>
  <c r="N17" i="26"/>
  <c r="N16" i="26"/>
  <c r="N15" i="26"/>
  <c r="N14" i="26"/>
  <c r="N13" i="26"/>
  <c r="N12" i="26"/>
  <c r="N11" i="26"/>
  <c r="N10" i="26"/>
  <c r="N9" i="26"/>
  <c r="M28" i="26"/>
  <c r="M27" i="26"/>
  <c r="M26" i="26"/>
  <c r="M25" i="26"/>
  <c r="M24" i="26"/>
  <c r="M23" i="26"/>
  <c r="M22" i="26"/>
  <c r="M21" i="26"/>
  <c r="M20" i="26"/>
  <c r="M19" i="26"/>
  <c r="M18" i="26"/>
  <c r="M17" i="26"/>
  <c r="M16" i="26"/>
  <c r="M15" i="26"/>
  <c r="M14" i="26"/>
  <c r="M13" i="26"/>
  <c r="M12" i="26"/>
  <c r="M11" i="26"/>
  <c r="M10" i="26"/>
  <c r="M9" i="26"/>
  <c r="L28" i="26"/>
  <c r="L27" i="26"/>
  <c r="L26" i="26"/>
  <c r="L25" i="26"/>
  <c r="L24" i="26"/>
  <c r="L23" i="26"/>
  <c r="L22" i="26"/>
  <c r="L21" i="26"/>
  <c r="L20" i="26"/>
  <c r="L19" i="26"/>
  <c r="L18" i="26"/>
  <c r="L17" i="26"/>
  <c r="L16" i="26"/>
  <c r="L15" i="26"/>
  <c r="L14" i="26"/>
  <c r="L13" i="26"/>
  <c r="L12" i="26"/>
  <c r="L11" i="26"/>
  <c r="L10" i="26"/>
  <c r="L9" i="26"/>
  <c r="K28" i="26"/>
  <c r="K27" i="26"/>
  <c r="K26" i="26"/>
  <c r="K25" i="26"/>
  <c r="K24" i="26"/>
  <c r="K23" i="26"/>
  <c r="K22" i="26"/>
  <c r="K21" i="26"/>
  <c r="K20" i="26"/>
  <c r="K19" i="26"/>
  <c r="K18" i="26"/>
  <c r="K17" i="26"/>
  <c r="K16" i="26"/>
  <c r="K15" i="26"/>
  <c r="K14" i="26"/>
  <c r="K13" i="26"/>
  <c r="K12" i="26"/>
  <c r="K11" i="26"/>
  <c r="K10" i="26"/>
  <c r="K9" i="26"/>
  <c r="O67" i="26"/>
  <c r="O66" i="26"/>
  <c r="O65" i="26"/>
  <c r="O64" i="26"/>
  <c r="O63" i="26"/>
  <c r="O62" i="26"/>
  <c r="O61" i="26"/>
  <c r="O60" i="26"/>
  <c r="O59" i="26"/>
  <c r="O58" i="26"/>
  <c r="O57" i="26"/>
  <c r="O56" i="26"/>
  <c r="O55" i="26"/>
  <c r="O54" i="26"/>
  <c r="O53" i="26"/>
  <c r="O52" i="26"/>
  <c r="O51" i="26"/>
  <c r="O50" i="26"/>
  <c r="O49" i="26"/>
  <c r="O48" i="26"/>
  <c r="N48" i="26"/>
  <c r="M67" i="26"/>
  <c r="M66" i="26"/>
  <c r="M65" i="26"/>
  <c r="M64" i="26"/>
  <c r="M63" i="26"/>
  <c r="M62" i="26"/>
  <c r="M61" i="26"/>
  <c r="M60" i="26"/>
  <c r="M59" i="26"/>
  <c r="M58" i="26"/>
  <c r="M57" i="26"/>
  <c r="M56" i="26"/>
  <c r="M55" i="26"/>
  <c r="M54" i="26"/>
  <c r="M53" i="26"/>
  <c r="M52" i="26"/>
  <c r="M51" i="26"/>
  <c r="M50" i="26"/>
  <c r="M49" i="26"/>
  <c r="M48" i="26"/>
  <c r="L67" i="26"/>
  <c r="L66" i="26"/>
  <c r="L65" i="26"/>
  <c r="L64" i="26"/>
  <c r="L63" i="26"/>
  <c r="L62" i="26"/>
  <c r="L61" i="26"/>
  <c r="L60" i="26"/>
  <c r="L59" i="26"/>
  <c r="L58" i="26"/>
  <c r="L57" i="26"/>
  <c r="L56" i="26"/>
  <c r="L55" i="26"/>
  <c r="L54" i="26"/>
  <c r="L53" i="26"/>
  <c r="L52" i="26"/>
  <c r="L51" i="26"/>
  <c r="L50" i="26"/>
  <c r="L49" i="26"/>
  <c r="L48" i="26"/>
  <c r="K67" i="26"/>
  <c r="K66" i="26"/>
  <c r="K65" i="26"/>
  <c r="K64" i="26"/>
  <c r="K63" i="26"/>
  <c r="K62" i="26"/>
  <c r="K61" i="26"/>
  <c r="K60" i="26"/>
  <c r="K59" i="26"/>
  <c r="K58" i="26"/>
  <c r="K57" i="26"/>
  <c r="K56" i="26"/>
  <c r="K55" i="26"/>
  <c r="K54" i="26"/>
  <c r="K53" i="26"/>
  <c r="K52" i="26"/>
  <c r="K51" i="26"/>
  <c r="K50" i="26"/>
  <c r="K49" i="26"/>
  <c r="K48" i="26"/>
  <c r="P67" i="26"/>
  <c r="R67" i="26" s="1"/>
  <c r="P66" i="26"/>
  <c r="R66" i="26" s="1"/>
  <c r="P65" i="26"/>
  <c r="P64" i="26"/>
  <c r="P63" i="26"/>
  <c r="P62" i="26"/>
  <c r="P61" i="26"/>
  <c r="N65" i="26"/>
  <c r="C67" i="26"/>
  <c r="N67" i="26" s="1"/>
  <c r="C66" i="26"/>
  <c r="N66" i="26" s="1"/>
  <c r="C65" i="26"/>
  <c r="C58" i="26"/>
  <c r="C48" i="26"/>
  <c r="D59" i="26"/>
  <c r="D60" i="26" s="1"/>
  <c r="D61" i="26" s="1"/>
  <c r="D62" i="26" s="1"/>
  <c r="D63" i="26" s="1"/>
  <c r="D64" i="26" s="1"/>
  <c r="C64" i="26" s="1"/>
  <c r="D49" i="26"/>
  <c r="D50" i="26" s="1"/>
  <c r="D51" i="26" s="1"/>
  <c r="D52" i="26" s="1"/>
  <c r="D53" i="26" s="1"/>
  <c r="D54" i="26" s="1"/>
  <c r="D55" i="26" s="1"/>
  <c r="D56" i="26" s="1"/>
  <c r="D57" i="26" s="1"/>
  <c r="C57" i="26" s="1"/>
  <c r="P28" i="26"/>
  <c r="R28" i="26" s="1"/>
  <c r="P27" i="26"/>
  <c r="R27" i="26" s="1"/>
  <c r="P26" i="26"/>
  <c r="P25" i="26"/>
  <c r="P24" i="26"/>
  <c r="P23" i="26"/>
  <c r="P22" i="26"/>
  <c r="C28" i="26"/>
  <c r="C27" i="26"/>
  <c r="C26" i="26"/>
  <c r="C23" i="26"/>
  <c r="C22" i="26"/>
  <c r="C21" i="26"/>
  <c r="C19" i="26"/>
  <c r="C9" i="26"/>
  <c r="D20" i="26"/>
  <c r="D21" i="26" s="1"/>
  <c r="D22" i="26" s="1"/>
  <c r="D23" i="26" s="1"/>
  <c r="D24" i="26" s="1"/>
  <c r="D25" i="26" s="1"/>
  <c r="C25" i="26" s="1"/>
  <c r="D10" i="26"/>
  <c r="D11" i="26" s="1"/>
  <c r="D12" i="26" s="1"/>
  <c r="D13" i="26" s="1"/>
  <c r="D14" i="26" s="1"/>
  <c r="D15" i="26" s="1"/>
  <c r="D16" i="26" s="1"/>
  <c r="D17" i="26" s="1"/>
  <c r="D18" i="26" s="1"/>
  <c r="C18" i="26" s="1"/>
  <c r="G7" i="30" l="1"/>
  <c r="C10" i="16" s="1"/>
  <c r="AC54" i="8"/>
  <c r="C53" i="26"/>
  <c r="C54" i="26"/>
  <c r="C56" i="26"/>
  <c r="S27" i="26"/>
  <c r="T27" i="26" s="1"/>
  <c r="S67" i="26"/>
  <c r="T67" i="26" s="1"/>
  <c r="S26" i="26"/>
  <c r="T26" i="26" s="1"/>
  <c r="S66" i="26"/>
  <c r="T66" i="26" s="1"/>
  <c r="C55" i="26"/>
  <c r="C59" i="26"/>
  <c r="N59" i="26" s="1"/>
  <c r="R65" i="26"/>
  <c r="S65" i="26" s="1"/>
  <c r="T65" i="26" s="1"/>
  <c r="S28" i="26"/>
  <c r="T28" i="26" s="1"/>
  <c r="C60" i="26"/>
  <c r="R26" i="26"/>
  <c r="N64" i="26"/>
  <c r="R64" i="26"/>
  <c r="R25" i="26"/>
  <c r="R23" i="26"/>
  <c r="C62" i="26"/>
  <c r="C63" i="26"/>
  <c r="R63" i="26" s="1"/>
  <c r="C16" i="26"/>
  <c r="C13" i="26"/>
  <c r="C17" i="26"/>
  <c r="C49" i="26"/>
  <c r="C15" i="26"/>
  <c r="C50" i="26"/>
  <c r="C24" i="26"/>
  <c r="C12" i="26"/>
  <c r="C61" i="26"/>
  <c r="C14" i="26"/>
  <c r="C51" i="26"/>
  <c r="R22" i="26"/>
  <c r="C10" i="26"/>
  <c r="C11" i="26"/>
  <c r="C20" i="26"/>
  <c r="R20" i="26" s="1"/>
  <c r="C52" i="26"/>
  <c r="R33" i="25"/>
  <c r="S33" i="25" s="1"/>
  <c r="R32" i="25"/>
  <c r="S32" i="25" s="1"/>
  <c r="R31" i="25"/>
  <c r="S31" i="25" s="1"/>
  <c r="R30" i="25"/>
  <c r="S30" i="25" s="1"/>
  <c r="R29" i="25"/>
  <c r="S29" i="25" s="1"/>
  <c r="G33" i="25"/>
  <c r="J33" i="25" s="1"/>
  <c r="K33" i="25" s="1"/>
  <c r="G32" i="25"/>
  <c r="J32" i="25" s="1"/>
  <c r="K32" i="25" s="1"/>
  <c r="G31" i="25"/>
  <c r="J31" i="25" s="1"/>
  <c r="K31" i="25" s="1"/>
  <c r="G30" i="25"/>
  <c r="J30" i="25" s="1"/>
  <c r="K30" i="25" s="1"/>
  <c r="T30" i="25" s="1"/>
  <c r="G29" i="25"/>
  <c r="J29" i="25" s="1"/>
  <c r="K29" i="25" s="1"/>
  <c r="E33" i="25"/>
  <c r="E32" i="25"/>
  <c r="E31" i="25"/>
  <c r="E30" i="25"/>
  <c r="E29" i="25"/>
  <c r="O70" i="25"/>
  <c r="L70" i="25"/>
  <c r="H70" i="25"/>
  <c r="E74" i="25"/>
  <c r="E73" i="25"/>
  <c r="E72" i="25"/>
  <c r="E71" i="25"/>
  <c r="E70" i="25"/>
  <c r="C59" i="8"/>
  <c r="K59" i="8" s="1"/>
  <c r="C73" i="8"/>
  <c r="D72" i="8"/>
  <c r="D64" i="8"/>
  <c r="B19" i="29"/>
  <c r="B20" i="29" s="1"/>
  <c r="B18" i="29"/>
  <c r="D18" i="29" s="1"/>
  <c r="D17" i="29"/>
  <c r="B13" i="29"/>
  <c r="B14" i="29" s="1"/>
  <c r="D12" i="29"/>
  <c r="E12" i="29" s="1"/>
  <c r="A8" i="29"/>
  <c r="A9" i="29" s="1"/>
  <c r="A10" i="29" s="1"/>
  <c r="A11" i="29" s="1"/>
  <c r="A12" i="29" s="1"/>
  <c r="A13" i="29" s="1"/>
  <c r="A14" i="29" s="1"/>
  <c r="A15" i="29" s="1"/>
  <c r="A16" i="29" s="1"/>
  <c r="A17" i="29" s="1"/>
  <c r="A18" i="29" s="1"/>
  <c r="A19" i="29" s="1"/>
  <c r="A20" i="29" s="1"/>
  <c r="A21" i="29" s="1"/>
  <c r="A22" i="29" s="1"/>
  <c r="A23" i="29" s="1"/>
  <c r="A24" i="29" s="1"/>
  <c r="A25" i="29" s="1"/>
  <c r="A26" i="29" s="1"/>
  <c r="C64" i="8"/>
  <c r="X64" i="8" s="1"/>
  <c r="C65" i="8"/>
  <c r="X65" i="8" s="1"/>
  <c r="C66" i="8"/>
  <c r="K66" i="8" s="1"/>
  <c r="C67" i="8"/>
  <c r="K67" i="8" s="1"/>
  <c r="C68" i="8"/>
  <c r="K68" i="8" s="1"/>
  <c r="C71" i="8"/>
  <c r="Q71" i="8" s="1"/>
  <c r="O69" i="25"/>
  <c r="O68" i="25"/>
  <c r="O67" i="25"/>
  <c r="O66" i="25"/>
  <c r="O65" i="25"/>
  <c r="O64" i="25"/>
  <c r="O63" i="25"/>
  <c r="O62" i="25"/>
  <c r="O61" i="25"/>
  <c r="O60" i="25"/>
  <c r="O59" i="25"/>
  <c r="O58" i="25"/>
  <c r="O57" i="25"/>
  <c r="O56" i="25"/>
  <c r="O55" i="25"/>
  <c r="L69" i="25"/>
  <c r="L68" i="25"/>
  <c r="L67" i="25"/>
  <c r="L66" i="25"/>
  <c r="L65" i="25"/>
  <c r="L64" i="25"/>
  <c r="L63" i="25"/>
  <c r="L62" i="25"/>
  <c r="L61" i="25"/>
  <c r="L60" i="25"/>
  <c r="L59" i="25"/>
  <c r="L58" i="25"/>
  <c r="L57" i="25"/>
  <c r="L56" i="25"/>
  <c r="L55" i="25"/>
  <c r="H69" i="25"/>
  <c r="H68" i="25"/>
  <c r="H67" i="25"/>
  <c r="H66" i="25"/>
  <c r="H65" i="25"/>
  <c r="H64" i="25"/>
  <c r="H63" i="25"/>
  <c r="H62" i="25"/>
  <c r="H61" i="25"/>
  <c r="H60" i="25"/>
  <c r="H59" i="25"/>
  <c r="H58" i="25"/>
  <c r="H57" i="25"/>
  <c r="H56" i="25"/>
  <c r="H55" i="25"/>
  <c r="C56" i="25"/>
  <c r="C57" i="25" s="1"/>
  <c r="C58" i="25" s="1"/>
  <c r="C59" i="25" s="1"/>
  <c r="C60" i="25" s="1"/>
  <c r="C66" i="25"/>
  <c r="C67" i="25"/>
  <c r="E67" i="25" s="1"/>
  <c r="C68" i="25"/>
  <c r="E68" i="25" s="1"/>
  <c r="E55" i="25"/>
  <c r="O28" i="25"/>
  <c r="O27" i="25"/>
  <c r="O26" i="25"/>
  <c r="O25" i="25"/>
  <c r="O24" i="25"/>
  <c r="O23" i="25"/>
  <c r="O22" i="25"/>
  <c r="O21" i="25"/>
  <c r="O20" i="25"/>
  <c r="O19" i="25"/>
  <c r="O18" i="25"/>
  <c r="O17" i="25"/>
  <c r="O16" i="25"/>
  <c r="O15" i="25"/>
  <c r="O14" i="25"/>
  <c r="O13" i="25"/>
  <c r="O12" i="25"/>
  <c r="O11" i="25"/>
  <c r="O10" i="25"/>
  <c r="O9" i="25"/>
  <c r="L28" i="25"/>
  <c r="L27" i="25"/>
  <c r="L26" i="25"/>
  <c r="L25" i="25"/>
  <c r="L24" i="25"/>
  <c r="L23" i="25"/>
  <c r="L22" i="25"/>
  <c r="L21" i="25"/>
  <c r="L20" i="25"/>
  <c r="L19" i="25"/>
  <c r="L18" i="25"/>
  <c r="L17" i="25"/>
  <c r="L16" i="25"/>
  <c r="L15" i="25"/>
  <c r="L14" i="25"/>
  <c r="L13" i="25"/>
  <c r="L12" i="25"/>
  <c r="L11" i="25"/>
  <c r="L10" i="25"/>
  <c r="L9" i="25"/>
  <c r="H28" i="25"/>
  <c r="H27" i="25"/>
  <c r="H26" i="25"/>
  <c r="H25" i="25"/>
  <c r="H24" i="25"/>
  <c r="H23" i="25"/>
  <c r="H22" i="25"/>
  <c r="H21" i="25"/>
  <c r="H20" i="25"/>
  <c r="H19" i="25"/>
  <c r="H18" i="25"/>
  <c r="H17" i="25"/>
  <c r="H16" i="25"/>
  <c r="H15" i="25"/>
  <c r="H14" i="25"/>
  <c r="H13" i="25"/>
  <c r="H12" i="25"/>
  <c r="H11" i="25"/>
  <c r="H10" i="25"/>
  <c r="H9" i="25"/>
  <c r="K31" i="28"/>
  <c r="J31" i="28"/>
  <c r="I31" i="28"/>
  <c r="H31" i="28"/>
  <c r="K30" i="28"/>
  <c r="J30" i="28"/>
  <c r="I30" i="28"/>
  <c r="H30" i="28"/>
  <c r="K29" i="28"/>
  <c r="J29" i="28"/>
  <c r="I29" i="28"/>
  <c r="H29" i="28"/>
  <c r="K28" i="28"/>
  <c r="J28" i="28"/>
  <c r="I28" i="28"/>
  <c r="H28" i="28"/>
  <c r="K27" i="28"/>
  <c r="J27" i="28"/>
  <c r="I27" i="28"/>
  <c r="H27" i="28"/>
  <c r="K26" i="28"/>
  <c r="J26" i="28"/>
  <c r="I26" i="28"/>
  <c r="H26" i="28"/>
  <c r="K25" i="28"/>
  <c r="J25" i="28"/>
  <c r="I25" i="28"/>
  <c r="H25" i="28"/>
  <c r="K24" i="28"/>
  <c r="J24" i="28"/>
  <c r="I24" i="28"/>
  <c r="H24" i="28"/>
  <c r="K23" i="28"/>
  <c r="J23" i="28"/>
  <c r="I23" i="28"/>
  <c r="H23" i="28"/>
  <c r="K22" i="28"/>
  <c r="J22" i="28"/>
  <c r="I22" i="28"/>
  <c r="H22" i="28"/>
  <c r="K21" i="28"/>
  <c r="J21" i="28"/>
  <c r="I21" i="28"/>
  <c r="H21" i="28"/>
  <c r="K20" i="28"/>
  <c r="J20" i="28"/>
  <c r="I20" i="28"/>
  <c r="H20" i="28"/>
  <c r="K19" i="28"/>
  <c r="J19" i="28"/>
  <c r="I19" i="28"/>
  <c r="H19" i="28"/>
  <c r="K18" i="28"/>
  <c r="J18" i="28"/>
  <c r="I18" i="28"/>
  <c r="H18" i="28"/>
  <c r="K17" i="28"/>
  <c r="J17" i="28"/>
  <c r="I17" i="28"/>
  <c r="H17" i="28"/>
  <c r="K16" i="28"/>
  <c r="J16" i="28"/>
  <c r="I16" i="28"/>
  <c r="H16" i="28"/>
  <c r="K15" i="28"/>
  <c r="J15" i="28"/>
  <c r="I15" i="28"/>
  <c r="H15" i="28"/>
  <c r="K14" i="28"/>
  <c r="J14" i="28"/>
  <c r="I14" i="28"/>
  <c r="H14" i="28"/>
  <c r="K13" i="28"/>
  <c r="J13" i="28"/>
  <c r="I13" i="28"/>
  <c r="H13" i="28"/>
  <c r="K12" i="28"/>
  <c r="J12" i="28"/>
  <c r="I12" i="28"/>
  <c r="H12" i="28"/>
  <c r="K11" i="28"/>
  <c r="J11" i="28"/>
  <c r="I11" i="28"/>
  <c r="H11" i="28"/>
  <c r="K10" i="28"/>
  <c r="J10" i="28"/>
  <c r="I10" i="28"/>
  <c r="H10" i="28"/>
  <c r="K9" i="28"/>
  <c r="J9" i="28"/>
  <c r="I9" i="28"/>
  <c r="H9" i="28"/>
  <c r="K8" i="28"/>
  <c r="J8" i="28"/>
  <c r="I8" i="28"/>
  <c r="H8" i="28"/>
  <c r="K7" i="28"/>
  <c r="J7" i="28"/>
  <c r="I7" i="28"/>
  <c r="H7" i="28"/>
  <c r="K6" i="28"/>
  <c r="J6" i="28"/>
  <c r="I6" i="28"/>
  <c r="H6" i="28"/>
  <c r="K5" i="28"/>
  <c r="J5" i="28"/>
  <c r="H5" i="28"/>
  <c r="I5" i="28"/>
  <c r="K4" i="28"/>
  <c r="J4" i="28"/>
  <c r="I4" i="28"/>
  <c r="H4" i="28"/>
  <c r="K3" i="28"/>
  <c r="J3" i="28"/>
  <c r="I3" i="28"/>
  <c r="H3" i="28"/>
  <c r="E28" i="25"/>
  <c r="E27" i="25"/>
  <c r="E26" i="25"/>
  <c r="C20" i="25"/>
  <c r="E20" i="25" s="1"/>
  <c r="E19" i="25"/>
  <c r="C10" i="25"/>
  <c r="C11" i="25" s="1"/>
  <c r="E9" i="25"/>
  <c r="D73" i="8"/>
  <c r="L73" i="8" s="1"/>
  <c r="D71" i="8"/>
  <c r="L71" i="8" s="1"/>
  <c r="D68" i="8"/>
  <c r="L68" i="8" s="1"/>
  <c r="D67" i="8"/>
  <c r="L67" i="8" s="1"/>
  <c r="D59" i="8"/>
  <c r="L59" i="8" s="1"/>
  <c r="D70" i="8"/>
  <c r="R70" i="8" s="1"/>
  <c r="D63" i="8"/>
  <c r="Z23" i="8"/>
  <c r="Z22" i="8"/>
  <c r="Y28" i="8"/>
  <c r="Z28" i="8" s="1"/>
  <c r="Y27" i="8"/>
  <c r="Z27" i="8" s="1"/>
  <c r="Y26" i="8"/>
  <c r="Z26" i="8" s="1"/>
  <c r="Y25" i="8"/>
  <c r="Z25" i="8" s="1"/>
  <c r="Y24" i="8"/>
  <c r="Z24" i="8" s="1"/>
  <c r="Y23" i="8"/>
  <c r="Y22" i="8"/>
  <c r="X28" i="8"/>
  <c r="X27" i="8"/>
  <c r="X26" i="8"/>
  <c r="X25" i="8"/>
  <c r="X24" i="8"/>
  <c r="X23" i="8"/>
  <c r="X22" i="8"/>
  <c r="S24" i="8"/>
  <c r="T24" i="8" s="1"/>
  <c r="S23" i="8"/>
  <c r="T23" i="8" s="1"/>
  <c r="S22" i="8"/>
  <c r="T22" i="8" s="1"/>
  <c r="R28" i="8"/>
  <c r="S28" i="8" s="1"/>
  <c r="T28" i="8" s="1"/>
  <c r="R27" i="8"/>
  <c r="S27" i="8" s="1"/>
  <c r="T27" i="8" s="1"/>
  <c r="R26" i="8"/>
  <c r="S26" i="8" s="1"/>
  <c r="T26" i="8" s="1"/>
  <c r="R25" i="8"/>
  <c r="S25" i="8" s="1"/>
  <c r="T25" i="8" s="1"/>
  <c r="R24" i="8"/>
  <c r="R23" i="8"/>
  <c r="R22" i="8"/>
  <c r="Q28" i="8"/>
  <c r="Q27" i="8"/>
  <c r="Q26" i="8"/>
  <c r="Q25" i="8"/>
  <c r="Q24" i="8"/>
  <c r="Q23" i="8"/>
  <c r="Q22" i="8"/>
  <c r="M28" i="8"/>
  <c r="M27" i="8"/>
  <c r="M26" i="8"/>
  <c r="M25" i="8"/>
  <c r="M24" i="8"/>
  <c r="M23" i="8"/>
  <c r="AA23" i="8" s="1"/>
  <c r="AB23" i="8" s="1"/>
  <c r="L28" i="8"/>
  <c r="L27" i="8"/>
  <c r="L26" i="8"/>
  <c r="L25" i="8"/>
  <c r="L24" i="8"/>
  <c r="L23" i="8"/>
  <c r="L22" i="8"/>
  <c r="M22" i="8" s="1"/>
  <c r="K28" i="8"/>
  <c r="K27" i="8"/>
  <c r="K26" i="8"/>
  <c r="K25" i="8"/>
  <c r="K24" i="8"/>
  <c r="K23" i="8"/>
  <c r="K22" i="8"/>
  <c r="D28" i="8"/>
  <c r="D27" i="8"/>
  <c r="D26" i="8"/>
  <c r="D25" i="8"/>
  <c r="D24" i="8"/>
  <c r="D23" i="8"/>
  <c r="D22" i="8"/>
  <c r="C28" i="8"/>
  <c r="C27" i="8"/>
  <c r="C26" i="8"/>
  <c r="C25" i="8"/>
  <c r="C24" i="8"/>
  <c r="C23" i="8"/>
  <c r="C22" i="8"/>
  <c r="D21" i="8"/>
  <c r="D20" i="8"/>
  <c r="D19" i="8"/>
  <c r="D18" i="8"/>
  <c r="D17" i="8"/>
  <c r="D16" i="8"/>
  <c r="D15" i="8"/>
  <c r="D14" i="8"/>
  <c r="Y14" i="8" s="1"/>
  <c r="D13" i="8"/>
  <c r="Y13" i="8" s="1"/>
  <c r="D12" i="8"/>
  <c r="R12" i="8" s="1"/>
  <c r="D11" i="8"/>
  <c r="R11" i="8" s="1"/>
  <c r="D10" i="8"/>
  <c r="L10" i="8" s="1"/>
  <c r="D9" i="8"/>
  <c r="C21" i="8"/>
  <c r="C20" i="8"/>
  <c r="C19" i="8"/>
  <c r="C18" i="8"/>
  <c r="K18" i="8" s="1"/>
  <c r="C17" i="8"/>
  <c r="C16" i="8"/>
  <c r="C15" i="8"/>
  <c r="C14" i="8"/>
  <c r="K14" i="8" s="1"/>
  <c r="C13" i="8"/>
  <c r="C12" i="8"/>
  <c r="K12" i="8" s="1"/>
  <c r="C11" i="8"/>
  <c r="K11" i="8" s="1"/>
  <c r="C10" i="8"/>
  <c r="C9" i="8"/>
  <c r="E20" i="8"/>
  <c r="E21" i="8" s="1"/>
  <c r="E22" i="8" s="1"/>
  <c r="E23" i="8" s="1"/>
  <c r="E24" i="8" s="1"/>
  <c r="E25" i="8" s="1"/>
  <c r="E10" i="8"/>
  <c r="E11" i="8" s="1"/>
  <c r="E12" i="8" s="1"/>
  <c r="E13" i="8" s="1"/>
  <c r="E14" i="8" s="1"/>
  <c r="E15" i="8" s="1"/>
  <c r="E16" i="8" s="1"/>
  <c r="E17" i="8" s="1"/>
  <c r="E18" i="8" s="1"/>
  <c r="Y21" i="8"/>
  <c r="Y20" i="8"/>
  <c r="Y19" i="8"/>
  <c r="Y18" i="8"/>
  <c r="Y17" i="8"/>
  <c r="Y16" i="8"/>
  <c r="Y15" i="8"/>
  <c r="Y9" i="8"/>
  <c r="R21" i="8"/>
  <c r="R20" i="8"/>
  <c r="R19" i="8"/>
  <c r="R18" i="8"/>
  <c r="R17" i="8"/>
  <c r="R16" i="8"/>
  <c r="R15" i="8"/>
  <c r="R14" i="8"/>
  <c r="R13" i="8"/>
  <c r="R9" i="8"/>
  <c r="L21" i="8"/>
  <c r="L20" i="8"/>
  <c r="L19" i="8"/>
  <c r="L18" i="8"/>
  <c r="L17" i="8"/>
  <c r="L16" i="8"/>
  <c r="L15" i="8"/>
  <c r="L14" i="8"/>
  <c r="L13" i="8"/>
  <c r="L12" i="8"/>
  <c r="L11" i="8"/>
  <c r="L9" i="8"/>
  <c r="P21" i="26"/>
  <c r="R21" i="26" s="1"/>
  <c r="P20" i="26"/>
  <c r="P19" i="26"/>
  <c r="R19" i="26" s="1"/>
  <c r="P18" i="26"/>
  <c r="R18" i="26" s="1"/>
  <c r="P17" i="26"/>
  <c r="R17" i="26" s="1"/>
  <c r="P16" i="26"/>
  <c r="P15" i="26"/>
  <c r="R15" i="26" s="1"/>
  <c r="P14" i="26"/>
  <c r="R14" i="26" s="1"/>
  <c r="P13" i="26"/>
  <c r="R13" i="26" s="1"/>
  <c r="P12" i="26"/>
  <c r="R12" i="26" s="1"/>
  <c r="P11" i="26"/>
  <c r="P10" i="26"/>
  <c r="P9" i="26"/>
  <c r="R9" i="26" s="1"/>
  <c r="P60" i="26"/>
  <c r="P59" i="26"/>
  <c r="P58" i="26"/>
  <c r="P57" i="26"/>
  <c r="P56" i="26"/>
  <c r="P55" i="26"/>
  <c r="P54" i="26"/>
  <c r="P53" i="26"/>
  <c r="P52" i="26"/>
  <c r="P51" i="26"/>
  <c r="P50" i="26"/>
  <c r="P49" i="26"/>
  <c r="P48" i="26"/>
  <c r="N58" i="26"/>
  <c r="N57" i="26"/>
  <c r="N56" i="26"/>
  <c r="N55" i="26"/>
  <c r="N54" i="26"/>
  <c r="N53" i="26"/>
  <c r="N52" i="26"/>
  <c r="N51" i="26"/>
  <c r="N50" i="26"/>
  <c r="N49" i="26"/>
  <c r="X21" i="8"/>
  <c r="X20" i="8"/>
  <c r="X19" i="8"/>
  <c r="X17" i="8"/>
  <c r="X16" i="8"/>
  <c r="X15" i="8"/>
  <c r="X14" i="8"/>
  <c r="X13" i="8"/>
  <c r="X12" i="8"/>
  <c r="X11" i="8"/>
  <c r="X10" i="8"/>
  <c r="X9" i="8"/>
  <c r="Q21" i="8"/>
  <c r="Q20" i="8"/>
  <c r="Q19" i="8"/>
  <c r="Q17" i="8"/>
  <c r="Q16" i="8"/>
  <c r="Q15" i="8"/>
  <c r="Q14" i="8"/>
  <c r="Q13" i="8"/>
  <c r="Q12" i="8"/>
  <c r="Q11" i="8"/>
  <c r="K21" i="8"/>
  <c r="K20" i="8"/>
  <c r="K19" i="8"/>
  <c r="K17" i="8"/>
  <c r="K16" i="8"/>
  <c r="K15" i="8"/>
  <c r="K13" i="8"/>
  <c r="D7" i="2"/>
  <c r="D6" i="2"/>
  <c r="D5" i="2"/>
  <c r="T29" i="25" l="1"/>
  <c r="T31" i="25"/>
  <c r="T32" i="25"/>
  <c r="T33" i="25"/>
  <c r="C69" i="25"/>
  <c r="E69" i="25" s="1"/>
  <c r="R67" i="8"/>
  <c r="R59" i="26"/>
  <c r="N60" i="26"/>
  <c r="S23" i="26"/>
  <c r="T23" i="26" s="1"/>
  <c r="R60" i="26"/>
  <c r="S9" i="26"/>
  <c r="T9" i="26" s="1"/>
  <c r="R16" i="26"/>
  <c r="S25" i="26"/>
  <c r="T25" i="26" s="1"/>
  <c r="N62" i="26"/>
  <c r="N61" i="26"/>
  <c r="R24" i="26"/>
  <c r="R61" i="26"/>
  <c r="R62" i="26"/>
  <c r="S63" i="26"/>
  <c r="T63" i="26" s="1"/>
  <c r="N63" i="26"/>
  <c r="S64" i="26"/>
  <c r="T64" i="26" s="1"/>
  <c r="S22" i="26"/>
  <c r="T22" i="26" s="1"/>
  <c r="S21" i="26"/>
  <c r="T21" i="26" s="1"/>
  <c r="S18" i="26"/>
  <c r="T18" i="26" s="1"/>
  <c r="S12" i="26"/>
  <c r="T12" i="26" s="1"/>
  <c r="S15" i="26"/>
  <c r="T15" i="26" s="1"/>
  <c r="S13" i="26"/>
  <c r="T13" i="26" s="1"/>
  <c r="S16" i="26"/>
  <c r="T16" i="26" s="1"/>
  <c r="S14" i="26"/>
  <c r="T14" i="26" s="1"/>
  <c r="S17" i="26"/>
  <c r="T17" i="26" s="1"/>
  <c r="M68" i="8"/>
  <c r="M67" i="8"/>
  <c r="AA26" i="8"/>
  <c r="AB26" i="8" s="1"/>
  <c r="AC26" i="8"/>
  <c r="AA28" i="8"/>
  <c r="AB28" i="8" s="1"/>
  <c r="AA24" i="8"/>
  <c r="AB24" i="8" s="1"/>
  <c r="AC28" i="8"/>
  <c r="AA25" i="8"/>
  <c r="AB25" i="8" s="1"/>
  <c r="AC25" i="8" s="1"/>
  <c r="AA27" i="8"/>
  <c r="AB27" i="8" s="1"/>
  <c r="AC27" i="8" s="1"/>
  <c r="AA22" i="8"/>
  <c r="AB22" i="8" s="1"/>
  <c r="AC22" i="8" s="1"/>
  <c r="AC24" i="8"/>
  <c r="AC23" i="8"/>
  <c r="K73" i="8"/>
  <c r="M73" i="8" s="1"/>
  <c r="Q73" i="8"/>
  <c r="R73" i="8"/>
  <c r="Y73" i="8"/>
  <c r="L72" i="8"/>
  <c r="Y72" i="8"/>
  <c r="R72" i="8"/>
  <c r="C72" i="8"/>
  <c r="Q72" i="8" s="1"/>
  <c r="Y71" i="8"/>
  <c r="R71" i="8"/>
  <c r="S71" i="8" s="1"/>
  <c r="T71" i="8" s="1"/>
  <c r="K71" i="8"/>
  <c r="M71" i="8" s="1"/>
  <c r="C69" i="8"/>
  <c r="Q69" i="8" s="1"/>
  <c r="Y67" i="8"/>
  <c r="D69" i="8"/>
  <c r="R69" i="8" s="1"/>
  <c r="C70" i="8"/>
  <c r="Q70" i="8" s="1"/>
  <c r="S70" i="8" s="1"/>
  <c r="T70" i="8" s="1"/>
  <c r="X67" i="8"/>
  <c r="X68" i="8"/>
  <c r="X69" i="8"/>
  <c r="Q67" i="8"/>
  <c r="S67" i="8" s="1"/>
  <c r="T67" i="8" s="1"/>
  <c r="R64" i="8"/>
  <c r="L64" i="8"/>
  <c r="Y64" i="8"/>
  <c r="Z64" i="8" s="1"/>
  <c r="Q68" i="8"/>
  <c r="Y68" i="8"/>
  <c r="Z68" i="8" s="1"/>
  <c r="AA68" i="8" s="1"/>
  <c r="AB68" i="8" s="1"/>
  <c r="Y69" i="8"/>
  <c r="R68" i="8"/>
  <c r="Y70" i="8"/>
  <c r="D65" i="8"/>
  <c r="L70" i="8"/>
  <c r="K70" i="8"/>
  <c r="D66" i="8"/>
  <c r="Y66" i="8" s="1"/>
  <c r="L63" i="8"/>
  <c r="Y63" i="8"/>
  <c r="C63" i="8"/>
  <c r="X63" i="8" s="1"/>
  <c r="Z63" i="8" s="1"/>
  <c r="C61" i="8"/>
  <c r="X61" i="8" s="1"/>
  <c r="D60" i="8"/>
  <c r="L60" i="8" s="1"/>
  <c r="D61" i="8"/>
  <c r="R61" i="8" s="1"/>
  <c r="C62" i="8"/>
  <c r="D62" i="8"/>
  <c r="L62" i="8" s="1"/>
  <c r="C60" i="8"/>
  <c r="X60" i="8" s="1"/>
  <c r="D14" i="29"/>
  <c r="B15" i="29"/>
  <c r="B21" i="29"/>
  <c r="D20" i="29"/>
  <c r="D19" i="29"/>
  <c r="D13" i="29"/>
  <c r="E13" i="29" s="1"/>
  <c r="E14" i="29" s="1"/>
  <c r="X71" i="8"/>
  <c r="X73" i="8"/>
  <c r="K64" i="8"/>
  <c r="M64" i="8" s="1"/>
  <c r="E60" i="25"/>
  <c r="C61" i="25"/>
  <c r="E10" i="25"/>
  <c r="E11" i="25"/>
  <c r="C12" i="25"/>
  <c r="C13" i="25" s="1"/>
  <c r="C21" i="25"/>
  <c r="F9" i="25"/>
  <c r="Y59" i="8"/>
  <c r="R63" i="8"/>
  <c r="M59" i="8"/>
  <c r="R59" i="8"/>
  <c r="Q64" i="8"/>
  <c r="Q59" i="8"/>
  <c r="X59" i="8"/>
  <c r="K65" i="8"/>
  <c r="K61" i="8"/>
  <c r="Q66" i="8"/>
  <c r="Q65" i="8"/>
  <c r="X66" i="8"/>
  <c r="Y10" i="8"/>
  <c r="Z10" i="8" s="1"/>
  <c r="Y11" i="8"/>
  <c r="Z11" i="8" s="1"/>
  <c r="R10" i="8"/>
  <c r="Y12" i="8"/>
  <c r="K10" i="8"/>
  <c r="Q18" i="8"/>
  <c r="X18" i="8"/>
  <c r="Z21" i="8"/>
  <c r="Z13" i="8"/>
  <c r="Z12" i="8"/>
  <c r="Z14" i="8"/>
  <c r="Z15" i="8"/>
  <c r="Z19" i="8"/>
  <c r="Z20" i="8"/>
  <c r="Z16" i="8"/>
  <c r="Z17" i="8"/>
  <c r="Z18" i="8"/>
  <c r="S59" i="26"/>
  <c r="T59" i="26" s="1"/>
  <c r="R50" i="26"/>
  <c r="S50" i="26" s="1"/>
  <c r="T50" i="26" s="1"/>
  <c r="R51" i="26"/>
  <c r="S51" i="26" s="1"/>
  <c r="T51" i="26" s="1"/>
  <c r="R49" i="26"/>
  <c r="S49" i="26" s="1"/>
  <c r="T49" i="26" s="1"/>
  <c r="R52" i="26"/>
  <c r="S52" i="26" s="1"/>
  <c r="T52" i="26" s="1"/>
  <c r="R54" i="26"/>
  <c r="S54" i="26" s="1"/>
  <c r="T54" i="26" s="1"/>
  <c r="R55" i="26"/>
  <c r="S55" i="26" s="1"/>
  <c r="T55" i="26" s="1"/>
  <c r="R57" i="26"/>
  <c r="S57" i="26" s="1"/>
  <c r="T57" i="26" s="1"/>
  <c r="R48" i="26"/>
  <c r="S48" i="26" s="1"/>
  <c r="T48" i="26" s="1"/>
  <c r="R53" i="26"/>
  <c r="S53" i="26" s="1"/>
  <c r="T53" i="26" s="1"/>
  <c r="R10" i="26"/>
  <c r="S10" i="26" s="1"/>
  <c r="T10" i="26" s="1"/>
  <c r="R11" i="26"/>
  <c r="S11" i="26" s="1"/>
  <c r="T11" i="26" s="1"/>
  <c r="R56" i="26"/>
  <c r="S56" i="26" s="1"/>
  <c r="T56" i="26" s="1"/>
  <c r="S60" i="26"/>
  <c r="T60" i="26" s="1"/>
  <c r="R58" i="26"/>
  <c r="S58" i="26" s="1"/>
  <c r="T58" i="26" s="1"/>
  <c r="M16" i="8"/>
  <c r="S19" i="26"/>
  <c r="T19" i="26" s="1"/>
  <c r="S20" i="8"/>
  <c r="T20" i="8" s="1"/>
  <c r="Z9" i="8"/>
  <c r="S21" i="8"/>
  <c r="T21" i="8" s="1"/>
  <c r="S12" i="8"/>
  <c r="T12" i="8" s="1"/>
  <c r="M12" i="8"/>
  <c r="S11" i="8"/>
  <c r="T11" i="8" s="1"/>
  <c r="S19" i="8"/>
  <c r="T19" i="8" s="1"/>
  <c r="S18" i="8"/>
  <c r="T18" i="8" s="1"/>
  <c r="M14" i="8"/>
  <c r="S17" i="8"/>
  <c r="T17" i="8" s="1"/>
  <c r="S16" i="8"/>
  <c r="T16" i="8" s="1"/>
  <c r="S13" i="8"/>
  <c r="T13" i="8" s="1"/>
  <c r="S14" i="8"/>
  <c r="T14" i="8" s="1"/>
  <c r="S15" i="8"/>
  <c r="T15" i="8" s="1"/>
  <c r="Q10" i="8"/>
  <c r="M13" i="8"/>
  <c r="M15" i="8"/>
  <c r="M11" i="8"/>
  <c r="M10" i="8"/>
  <c r="M18" i="8"/>
  <c r="M17" i="8"/>
  <c r="M20" i="8"/>
  <c r="M19" i="8"/>
  <c r="M21" i="8"/>
  <c r="Q9" i="8"/>
  <c r="S9" i="8" s="1"/>
  <c r="T9" i="8" s="1"/>
  <c r="S64" i="8" l="1"/>
  <c r="T64" i="8" s="1"/>
  <c r="X72" i="8"/>
  <c r="K72" i="8"/>
  <c r="M72" i="8" s="1"/>
  <c r="AA72" i="8" s="1"/>
  <c r="AB72" i="8" s="1"/>
  <c r="R60" i="8"/>
  <c r="Z71" i="8"/>
  <c r="AA71" i="8" s="1"/>
  <c r="AB71" i="8" s="1"/>
  <c r="Q63" i="8"/>
  <c r="K69" i="8"/>
  <c r="L61" i="8"/>
  <c r="M61" i="8" s="1"/>
  <c r="S63" i="8"/>
  <c r="T63" i="8" s="1"/>
  <c r="Q61" i="8"/>
  <c r="S61" i="8" s="1"/>
  <c r="T61" i="8" s="1"/>
  <c r="S20" i="26"/>
  <c r="T20" i="26" s="1"/>
  <c r="S24" i="26"/>
  <c r="T24" i="26" s="1"/>
  <c r="T34" i="26" s="1"/>
  <c r="S61" i="26"/>
  <c r="T61" i="26" s="1"/>
  <c r="S62" i="26"/>
  <c r="T62" i="26" s="1"/>
  <c r="Z72" i="8"/>
  <c r="Z73" i="8"/>
  <c r="AA73" i="8" s="1"/>
  <c r="AB73" i="8" s="1"/>
  <c r="Z59" i="8"/>
  <c r="AA59" i="8" s="1"/>
  <c r="AB59" i="8" s="1"/>
  <c r="S69" i="8"/>
  <c r="T69" i="8" s="1"/>
  <c r="AA14" i="8"/>
  <c r="AB14" i="8" s="1"/>
  <c r="S10" i="8"/>
  <c r="T10" i="8" s="1"/>
  <c r="S73" i="8"/>
  <c r="T73" i="8" s="1"/>
  <c r="S72" i="8"/>
  <c r="T72" i="8" s="1"/>
  <c r="AC71" i="8"/>
  <c r="Z69" i="8"/>
  <c r="X70" i="8"/>
  <c r="Z67" i="8"/>
  <c r="AA67" i="8" s="1"/>
  <c r="AB67" i="8" s="1"/>
  <c r="L69" i="8"/>
  <c r="M69" i="8" s="1"/>
  <c r="AA69" i="8" s="1"/>
  <c r="AB69" i="8" s="1"/>
  <c r="AC69" i="8" s="1"/>
  <c r="AC67" i="8"/>
  <c r="Z70" i="8"/>
  <c r="S68" i="8"/>
  <c r="T68" i="8" s="1"/>
  <c r="AC68" i="8" s="1"/>
  <c r="Z66" i="8"/>
  <c r="R65" i="8"/>
  <c r="S65" i="8" s="1"/>
  <c r="T65" i="8" s="1"/>
  <c r="L65" i="8"/>
  <c r="M65" i="8" s="1"/>
  <c r="Y65" i="8"/>
  <c r="Z65" i="8" s="1"/>
  <c r="AA65" i="8" s="1"/>
  <c r="AB65" i="8" s="1"/>
  <c r="R66" i="8"/>
  <c r="S66" i="8" s="1"/>
  <c r="T66" i="8" s="1"/>
  <c r="L66" i="8"/>
  <c r="M66" i="8" s="1"/>
  <c r="M70" i="8"/>
  <c r="AA64" i="8"/>
  <c r="AB64" i="8" s="1"/>
  <c r="AC64" i="8" s="1"/>
  <c r="Q60" i="8"/>
  <c r="S60" i="8" s="1"/>
  <c r="T60" i="8" s="1"/>
  <c r="Y61" i="8"/>
  <c r="Z61" i="8" s="1"/>
  <c r="K60" i="8"/>
  <c r="M60" i="8" s="1"/>
  <c r="Y60" i="8"/>
  <c r="Z60" i="8" s="1"/>
  <c r="AA60" i="8" s="1"/>
  <c r="AB60" i="8" s="1"/>
  <c r="K63" i="8"/>
  <c r="M63" i="8" s="1"/>
  <c r="AA63" i="8" s="1"/>
  <c r="AB63" i="8" s="1"/>
  <c r="AC63" i="8" s="1"/>
  <c r="R62" i="8"/>
  <c r="Y62" i="8"/>
  <c r="X62" i="8"/>
  <c r="Q62" i="8"/>
  <c r="K62" i="8"/>
  <c r="M62" i="8" s="1"/>
  <c r="D15" i="29"/>
  <c r="E15" i="29" s="1"/>
  <c r="E16" i="29" s="1"/>
  <c r="E17" i="29" s="1"/>
  <c r="E18" i="29" s="1"/>
  <c r="E19" i="29" s="1"/>
  <c r="E20" i="29" s="1"/>
  <c r="E21" i="29" s="1"/>
  <c r="B16" i="29"/>
  <c r="D16" i="29" s="1"/>
  <c r="B22" i="29"/>
  <c r="D21" i="29"/>
  <c r="S59" i="8"/>
  <c r="T59" i="8" s="1"/>
  <c r="C62" i="25"/>
  <c r="E61" i="25"/>
  <c r="E56" i="25"/>
  <c r="F10" i="25"/>
  <c r="G9" i="25"/>
  <c r="Q9" i="25" s="1"/>
  <c r="E12" i="25"/>
  <c r="C14" i="25"/>
  <c r="E13" i="25"/>
  <c r="C22" i="25"/>
  <c r="E21" i="25"/>
  <c r="AA21" i="8"/>
  <c r="AB21" i="8" s="1"/>
  <c r="AC21" i="8" s="1"/>
  <c r="AA19" i="8"/>
  <c r="AB19" i="8" s="1"/>
  <c r="AC19" i="8" s="1"/>
  <c r="AA12" i="8"/>
  <c r="AB12" i="8" s="1"/>
  <c r="AC12" i="8" s="1"/>
  <c r="AA13" i="8"/>
  <c r="AB13" i="8" s="1"/>
  <c r="AC13" i="8" s="1"/>
  <c r="AA15" i="8"/>
  <c r="AB15" i="8" s="1"/>
  <c r="AC15" i="8" s="1"/>
  <c r="AC14" i="8"/>
  <c r="AA16" i="8"/>
  <c r="AB16" i="8" s="1"/>
  <c r="AC16" i="8" s="1"/>
  <c r="AA17" i="8"/>
  <c r="AB17" i="8" s="1"/>
  <c r="AC17" i="8" s="1"/>
  <c r="AA20" i="8"/>
  <c r="AB20" i="8" s="1"/>
  <c r="AC20" i="8" s="1"/>
  <c r="AA18" i="8"/>
  <c r="AB18" i="8" s="1"/>
  <c r="AC18" i="8" s="1"/>
  <c r="AA11" i="8"/>
  <c r="AB11" i="8" s="1"/>
  <c r="AC11" i="8" s="1"/>
  <c r="AA10" i="8"/>
  <c r="AB10" i="8" s="1"/>
  <c r="AC10" i="8" s="1"/>
  <c r="T73" i="26"/>
  <c r="K9" i="8"/>
  <c r="M9" i="8" s="1"/>
  <c r="AA9" i="8" s="1"/>
  <c r="AB9" i="8" s="1"/>
  <c r="AC9" i="8" s="1"/>
  <c r="AC72" i="8" l="1"/>
  <c r="AA66" i="8"/>
  <c r="AB66" i="8" s="1"/>
  <c r="AC60" i="8"/>
  <c r="AC59" i="8"/>
  <c r="AC73" i="8"/>
  <c r="S62" i="8"/>
  <c r="T62" i="8" s="1"/>
  <c r="AA70" i="8"/>
  <c r="AB70" i="8" s="1"/>
  <c r="AC70" i="8" s="1"/>
  <c r="AA61" i="8"/>
  <c r="AB61" i="8" s="1"/>
  <c r="AC61" i="8" s="1"/>
  <c r="AC65" i="8"/>
  <c r="Z62" i="8"/>
  <c r="AA62" i="8" s="1"/>
  <c r="AB62" i="8" s="1"/>
  <c r="AC34" i="8"/>
  <c r="AC66" i="8"/>
  <c r="D22" i="29"/>
  <c r="E22" i="29" s="1"/>
  <c r="B23" i="29"/>
  <c r="C63" i="25"/>
  <c r="E62" i="25"/>
  <c r="E57" i="25"/>
  <c r="E65" i="25"/>
  <c r="E66" i="25"/>
  <c r="J9" i="25"/>
  <c r="K9" i="25" s="1"/>
  <c r="N9" i="25"/>
  <c r="R9" i="25" s="1"/>
  <c r="S9" i="25" s="1"/>
  <c r="T9" i="25" s="1"/>
  <c r="F11" i="25"/>
  <c r="G11" i="25" s="1"/>
  <c r="G10" i="25"/>
  <c r="C15" i="25"/>
  <c r="E14" i="25"/>
  <c r="E22" i="25"/>
  <c r="C23" i="25"/>
  <c r="T74" i="26"/>
  <c r="C8" i="16" s="1"/>
  <c r="AB79" i="8"/>
  <c r="AC62" i="8" l="1"/>
  <c r="B24" i="29"/>
  <c r="D23" i="29"/>
  <c r="E23" i="29" s="1"/>
  <c r="C64" i="25"/>
  <c r="E64" i="25" s="1"/>
  <c r="E63" i="25"/>
  <c r="E58" i="25"/>
  <c r="E59" i="25"/>
  <c r="J10" i="25"/>
  <c r="N10" i="25"/>
  <c r="J11" i="25"/>
  <c r="N11" i="25"/>
  <c r="K11" i="25"/>
  <c r="K10" i="25"/>
  <c r="F12" i="25"/>
  <c r="G12" i="25" s="1"/>
  <c r="C16" i="25"/>
  <c r="E15" i="25"/>
  <c r="C24" i="25"/>
  <c r="E23" i="25"/>
  <c r="AC79" i="8"/>
  <c r="D24" i="29" l="1"/>
  <c r="E24" i="29" s="1"/>
  <c r="B25" i="29"/>
  <c r="F55" i="25"/>
  <c r="R11" i="25"/>
  <c r="R10" i="25"/>
  <c r="J12" i="25"/>
  <c r="K12" i="25" s="1"/>
  <c r="N12" i="25"/>
  <c r="F13" i="25"/>
  <c r="E16" i="25"/>
  <c r="C17" i="25"/>
  <c r="C25" i="25"/>
  <c r="E25" i="25" s="1"/>
  <c r="E24" i="25"/>
  <c r="S10" i="25" l="1"/>
  <c r="T10" i="25" s="1"/>
  <c r="B26" i="29"/>
  <c r="D26" i="29" s="1"/>
  <c r="D25" i="29"/>
  <c r="E25" i="29" s="1"/>
  <c r="E26" i="29" s="1"/>
  <c r="G55" i="25"/>
  <c r="F56" i="25"/>
  <c r="R12" i="25"/>
  <c r="S11" i="25"/>
  <c r="T11" i="25" s="1"/>
  <c r="G13" i="25"/>
  <c r="F14" i="25"/>
  <c r="C18" i="25"/>
  <c r="E17" i="25"/>
  <c r="D34" i="2"/>
  <c r="J55" i="25" l="1"/>
  <c r="K55" i="25" s="1"/>
  <c r="N55" i="25"/>
  <c r="R55" i="25" s="1"/>
  <c r="S55" i="25" s="1"/>
  <c r="G56" i="25"/>
  <c r="F57" i="25"/>
  <c r="S12" i="25"/>
  <c r="T12" i="25" s="1"/>
  <c r="J13" i="25"/>
  <c r="K13" i="25" s="1"/>
  <c r="N13" i="25"/>
  <c r="G14" i="25"/>
  <c r="F15" i="25"/>
  <c r="E18" i="25"/>
  <c r="B6" i="16"/>
  <c r="B11" i="16" s="1"/>
  <c r="G6" i="16"/>
  <c r="G11" i="16" s="1"/>
  <c r="T55" i="25" l="1"/>
  <c r="J56" i="25"/>
  <c r="K56" i="25" s="1"/>
  <c r="N56" i="25"/>
  <c r="G57" i="25"/>
  <c r="F58" i="25"/>
  <c r="R13" i="25"/>
  <c r="J14" i="25"/>
  <c r="N14" i="25"/>
  <c r="K14" i="25"/>
  <c r="G15" i="25"/>
  <c r="F16" i="25"/>
  <c r="R56" i="25" l="1"/>
  <c r="S56" i="25" s="1"/>
  <c r="T56" i="25" s="1"/>
  <c r="J57" i="25"/>
  <c r="K57" i="25" s="1"/>
  <c r="N57" i="25"/>
  <c r="R57" i="25" s="1"/>
  <c r="S57" i="25" s="1"/>
  <c r="F59" i="25"/>
  <c r="G58" i="25"/>
  <c r="R14" i="25"/>
  <c r="S13" i="25"/>
  <c r="T13" i="25" s="1"/>
  <c r="J15" i="25"/>
  <c r="K15" i="25" s="1"/>
  <c r="N15" i="25"/>
  <c r="F17" i="25"/>
  <c r="G16" i="25"/>
  <c r="T57" i="25" l="1"/>
  <c r="J58" i="25"/>
  <c r="K58" i="25" s="1"/>
  <c r="N58" i="25"/>
  <c r="R58" i="25" s="1"/>
  <c r="S58" i="25" s="1"/>
  <c r="F60" i="25"/>
  <c r="G59" i="25"/>
  <c r="R15" i="25"/>
  <c r="S14" i="25"/>
  <c r="T14" i="25" s="1"/>
  <c r="J16" i="25"/>
  <c r="K16" i="25" s="1"/>
  <c r="N16" i="25"/>
  <c r="G17" i="25"/>
  <c r="F18" i="25"/>
  <c r="N59" i="25" l="1"/>
  <c r="R59" i="25" s="1"/>
  <c r="S59" i="25" s="1"/>
  <c r="J59" i="25"/>
  <c r="K59" i="25" s="1"/>
  <c r="T58" i="25"/>
  <c r="F61" i="25"/>
  <c r="G60" i="25"/>
  <c r="S15" i="25"/>
  <c r="T15" i="25" s="1"/>
  <c r="R16" i="25"/>
  <c r="J17" i="25"/>
  <c r="N17" i="25"/>
  <c r="K17" i="25"/>
  <c r="G18" i="25"/>
  <c r="F19" i="25"/>
  <c r="AB34" i="8"/>
  <c r="N60" i="25" l="1"/>
  <c r="R60" i="25" s="1"/>
  <c r="S60" i="25" s="1"/>
  <c r="J60" i="25"/>
  <c r="K60" i="25" s="1"/>
  <c r="T59" i="25"/>
  <c r="G61" i="25"/>
  <c r="F62" i="25"/>
  <c r="R17" i="25"/>
  <c r="S16" i="25"/>
  <c r="T16" i="25" s="1"/>
  <c r="J18" i="25"/>
  <c r="N18" i="25"/>
  <c r="K18" i="25"/>
  <c r="F20" i="25"/>
  <c r="G19" i="25"/>
  <c r="AC80" i="8"/>
  <c r="C7" i="16" s="1"/>
  <c r="T60" i="25" l="1"/>
  <c r="J61" i="25"/>
  <c r="K61" i="25" s="1"/>
  <c r="N61" i="25"/>
  <c r="R61" i="25" s="1"/>
  <c r="S61" i="25" s="1"/>
  <c r="T61" i="25" s="1"/>
  <c r="G62" i="25"/>
  <c r="F63" i="25"/>
  <c r="R18" i="25"/>
  <c r="S17" i="25"/>
  <c r="T17" i="25" s="1"/>
  <c r="J19" i="25"/>
  <c r="K19" i="25" s="1"/>
  <c r="N19" i="25"/>
  <c r="G20" i="25"/>
  <c r="F21" i="25"/>
  <c r="J62" i="25" l="1"/>
  <c r="K62" i="25" s="1"/>
  <c r="N62" i="25"/>
  <c r="R62" i="25" s="1"/>
  <c r="S62" i="25" s="1"/>
  <c r="F64" i="25"/>
  <c r="G63" i="25"/>
  <c r="R19" i="25"/>
  <c r="S18" i="25"/>
  <c r="T18" i="25" s="1"/>
  <c r="J20" i="25"/>
  <c r="N20" i="25"/>
  <c r="K20" i="25"/>
  <c r="G21" i="25"/>
  <c r="F22" i="25"/>
  <c r="T62" i="25" l="1"/>
  <c r="J63" i="25"/>
  <c r="K63" i="25" s="1"/>
  <c r="N63" i="25"/>
  <c r="R63" i="25" s="1"/>
  <c r="S63" i="25" s="1"/>
  <c r="G64" i="25"/>
  <c r="F65" i="25"/>
  <c r="R20" i="25"/>
  <c r="S19" i="25"/>
  <c r="T19" i="25" s="1"/>
  <c r="J21" i="25"/>
  <c r="N21" i="25"/>
  <c r="K21" i="25"/>
  <c r="F23" i="25"/>
  <c r="G22" i="25"/>
  <c r="N64" i="25" l="1"/>
  <c r="R64" i="25" s="1"/>
  <c r="S64" i="25" s="1"/>
  <c r="J64" i="25"/>
  <c r="K64" i="25" s="1"/>
  <c r="T63" i="25"/>
  <c r="G65" i="25"/>
  <c r="F66" i="25"/>
  <c r="R21" i="25"/>
  <c r="S20" i="25"/>
  <c r="T20" i="25" s="1"/>
  <c r="J22" i="25"/>
  <c r="K22" i="25" s="1"/>
  <c r="N22" i="25"/>
  <c r="F24" i="25"/>
  <c r="G23" i="25"/>
  <c r="N65" i="25" l="1"/>
  <c r="R65" i="25" s="1"/>
  <c r="S65" i="25" s="1"/>
  <c r="J65" i="25"/>
  <c r="K65" i="25" s="1"/>
  <c r="T64" i="25"/>
  <c r="G66" i="25"/>
  <c r="F67" i="25"/>
  <c r="R22" i="25"/>
  <c r="S22" i="25" s="1"/>
  <c r="T22" i="25" s="1"/>
  <c r="S21" i="25"/>
  <c r="J23" i="25"/>
  <c r="K23" i="25" s="1"/>
  <c r="N23" i="25"/>
  <c r="G24" i="25"/>
  <c r="F25" i="25"/>
  <c r="J66" i="25" l="1"/>
  <c r="K66" i="25" s="1"/>
  <c r="N66" i="25"/>
  <c r="R66" i="25" s="1"/>
  <c r="S66" i="25" s="1"/>
  <c r="T65" i="25"/>
  <c r="F68" i="25"/>
  <c r="G67" i="25"/>
  <c r="R23" i="25"/>
  <c r="S23" i="25" s="1"/>
  <c r="T23" i="25" s="1"/>
  <c r="T21" i="25"/>
  <c r="J24" i="25"/>
  <c r="K24" i="25" s="1"/>
  <c r="N24" i="25"/>
  <c r="G25" i="25"/>
  <c r="T66" i="25" l="1"/>
  <c r="N67" i="25"/>
  <c r="R67" i="25" s="1"/>
  <c r="S67" i="25" s="1"/>
  <c r="J67" i="25"/>
  <c r="K67" i="25" s="1"/>
  <c r="G68" i="25"/>
  <c r="F69" i="25"/>
  <c r="R24" i="25"/>
  <c r="S24" i="25" s="1"/>
  <c r="T24" i="25" s="1"/>
  <c r="J25" i="25"/>
  <c r="K25" i="25" s="1"/>
  <c r="N25" i="25"/>
  <c r="R25" i="25" s="1"/>
  <c r="S25" i="25" s="1"/>
  <c r="G26" i="25"/>
  <c r="G69" i="25" l="1"/>
  <c r="F70" i="25"/>
  <c r="N69" i="25"/>
  <c r="R69" i="25" s="1"/>
  <c r="S69" i="25" s="1"/>
  <c r="J69" i="25"/>
  <c r="K69" i="25" s="1"/>
  <c r="J68" i="25"/>
  <c r="K68" i="25" s="1"/>
  <c r="N68" i="25"/>
  <c r="R68" i="25" s="1"/>
  <c r="S68" i="25" s="1"/>
  <c r="T67" i="25"/>
  <c r="T25" i="25"/>
  <c r="J26" i="25"/>
  <c r="K26" i="25" s="1"/>
  <c r="N26" i="25"/>
  <c r="R26" i="25" s="1"/>
  <c r="S26" i="25" s="1"/>
  <c r="G27" i="25"/>
  <c r="G70" i="25" l="1"/>
  <c r="F71" i="25"/>
  <c r="G28" i="25"/>
  <c r="N28" i="25" s="1"/>
  <c r="T68" i="25"/>
  <c r="T69" i="25"/>
  <c r="T26" i="25"/>
  <c r="J27" i="25"/>
  <c r="K27" i="25" s="1"/>
  <c r="N27" i="25"/>
  <c r="F72" i="25" l="1"/>
  <c r="G71" i="25"/>
  <c r="J70" i="25"/>
  <c r="K70" i="25" s="1"/>
  <c r="N70" i="25"/>
  <c r="J28" i="25"/>
  <c r="K28" i="25" s="1"/>
  <c r="R27" i="25"/>
  <c r="S27" i="25" s="1"/>
  <c r="R28" i="25"/>
  <c r="S28" i="25" s="1"/>
  <c r="T28" i="25" l="1"/>
  <c r="F73" i="25"/>
  <c r="G72" i="25"/>
  <c r="R70" i="25"/>
  <c r="S70" i="25" s="1"/>
  <c r="J71" i="25"/>
  <c r="K71" i="25" s="1"/>
  <c r="N71" i="25"/>
  <c r="S39" i="25"/>
  <c r="H7" i="16" s="1"/>
  <c r="H11" i="16" s="1"/>
  <c r="I12" i="16" s="1"/>
  <c r="T27" i="25"/>
  <c r="R71" i="25" l="1"/>
  <c r="S71" i="25" s="1"/>
  <c r="T70" i="25"/>
  <c r="N72" i="25"/>
  <c r="J72" i="25"/>
  <c r="K72" i="25" s="1"/>
  <c r="F74" i="25"/>
  <c r="G74" i="25" s="1"/>
  <c r="G73" i="25"/>
  <c r="T71" i="25" l="1"/>
  <c r="N73" i="25"/>
  <c r="J73" i="25"/>
  <c r="K73" i="25" s="1"/>
  <c r="N74" i="25"/>
  <c r="J74" i="25"/>
  <c r="K74" i="25" s="1"/>
  <c r="R72" i="25"/>
  <c r="S72" i="25" s="1"/>
  <c r="T72" i="25" l="1"/>
  <c r="R74" i="25"/>
  <c r="S74" i="25" s="1"/>
  <c r="T74" i="25" s="1"/>
  <c r="R73" i="25"/>
  <c r="S73" i="25" s="1"/>
  <c r="S75" i="25" s="1"/>
  <c r="T76" i="25" s="1"/>
  <c r="C9" i="16" s="1"/>
  <c r="C11" i="16" l="1"/>
  <c r="D12" i="16" s="1"/>
  <c r="T73" i="25"/>
  <c r="T77" i="25" s="1"/>
</calcChain>
</file>

<file path=xl/sharedStrings.xml><?xml version="1.0" encoding="utf-8"?>
<sst xmlns="http://schemas.openxmlformats.org/spreadsheetml/2006/main" count="243" uniqueCount="128">
  <si>
    <t>Current Status/Baseline &amp; Problem to be Addressed</t>
  </si>
  <si>
    <t>Change to Baseline/Alternatives</t>
  </si>
  <si>
    <t>Type of Impacts</t>
  </si>
  <si>
    <t>Population Affected by Impacts</t>
  </si>
  <si>
    <t>Economic Benefit</t>
  </si>
  <si>
    <t>Summary of Results</t>
  </si>
  <si>
    <t>Tab in BCA</t>
  </si>
  <si>
    <t>Year</t>
  </si>
  <si>
    <t>Calendar Year</t>
  </si>
  <si>
    <t>Capital Cost</t>
  </si>
  <si>
    <t>Costs</t>
  </si>
  <si>
    <t>Benefits</t>
  </si>
  <si>
    <t>CAPEX</t>
  </si>
  <si>
    <t>TOTAL</t>
  </si>
  <si>
    <t>Benefit-Cost Ratio</t>
  </si>
  <si>
    <t>See Benefit Cost Ratio worksheet for summary.</t>
  </si>
  <si>
    <t>Capital Investment</t>
  </si>
  <si>
    <r>
      <t>Net Costs Minus CO</t>
    </r>
    <r>
      <rPr>
        <b/>
        <vertAlign val="superscript"/>
        <sz val="11"/>
        <color rgb="FF000000"/>
        <rFont val="Times New Roman"/>
        <family val="1"/>
      </rPr>
      <t>2</t>
    </r>
  </si>
  <si>
    <r>
      <t>Total Costs with CO</t>
    </r>
    <r>
      <rPr>
        <b/>
        <vertAlign val="superscript"/>
        <sz val="11"/>
        <color rgb="FF000000"/>
        <rFont val="Calibri"/>
        <family val="2"/>
      </rPr>
      <t>2</t>
    </r>
    <r>
      <rPr>
        <b/>
        <sz val="11"/>
        <color indexed="8"/>
        <rFont val="Calibri"/>
        <family val="2"/>
      </rPr>
      <t xml:space="preserve"> Costs</t>
    </r>
  </si>
  <si>
    <t>3% NPV</t>
  </si>
  <si>
    <t>Dirigo Atlantic floating Offshore Wind Port</t>
  </si>
  <si>
    <t>Executive Summary - Dirigo Atlantic Floating Offshore Wind Port</t>
  </si>
  <si>
    <t>Dirigo Atlantic Floating Offshore Wind Port</t>
  </si>
  <si>
    <t>NOx Value per BCA Guidance</t>
  </si>
  <si>
    <t>BCA Value Provided per MT</t>
  </si>
  <si>
    <t>Total value of PM2.5 emitted</t>
  </si>
  <si>
    <t>Metric Tons of PM 2.5 emitted at 100% load = 173 grams/hour = .000173 MT/hour</t>
  </si>
  <si>
    <t>Total value of PM2.5 emitted at 100% load</t>
  </si>
  <si>
    <t>BCA Value Provided per MT of Co2</t>
  </si>
  <si>
    <t>Metric Tons of CO2 emitted at 100% load = 1325 grams/hour = .001325 MT/hour</t>
  </si>
  <si>
    <t>Total value of CO2 emitted at 100% load</t>
  </si>
  <si>
    <t>Total value of CO2 emitted</t>
  </si>
  <si>
    <t>CO2 Discounted at 2% per BCA guidance</t>
  </si>
  <si>
    <t>Total value of NOx emitted at 100% load</t>
  </si>
  <si>
    <t>Total value of NOx emitted</t>
  </si>
  <si>
    <t>Metric Tons of NOx emitted at 100% load = 14,124 grams/hour = .014124 MT/hour</t>
  </si>
  <si>
    <t>Tug Boat Nautical Mileage calculation into hours traveled. https://rechneronline.de/ship/#google_vignette</t>
  </si>
  <si>
    <t>Total Savings</t>
  </si>
  <si>
    <t>Tug Boat Emissions</t>
  </si>
  <si>
    <t>Build - Emissions Tug Boat Trips Sears Island, Maine</t>
  </si>
  <si>
    <t>Tug Boat Travel Time</t>
  </si>
  <si>
    <t>Fuel Cost/Gallon</t>
  </si>
  <si>
    <t>Total Fuel Costs</t>
  </si>
  <si>
    <t>Operator Costs in Salaries</t>
  </si>
  <si>
    <t>Gallons Diesel Fuel Needed</t>
  </si>
  <si>
    <t>Total Opearting Costs</t>
  </si>
  <si>
    <t>No Build - Emissions Tugboat Trips from Salem County, New Jersey to the WEA</t>
  </si>
  <si>
    <t>Tugboat Hours from Salem County, New Jersey to WEA at 3 knots; 520 NM from Salem County, New Jersey to WEA</t>
  </si>
  <si>
    <t>No Build - Travel Time for Tugboat Trips from Salem County, New Jersey to the WEA</t>
  </si>
  <si>
    <t>Build - Travel Time for Tug Boat Trips from Sears Island, Maine to the WEA</t>
  </si>
  <si>
    <t>Tugboat Hours from Sears Island, Maine to WEA at 3 knots; 110 NM from Sears Island, Maine to WEA</t>
  </si>
  <si>
    <t>Number of Operators (non Captain) on Tugboat</t>
  </si>
  <si>
    <t>Tugboat Captain</t>
  </si>
  <si>
    <t>Average Salary of Tugboat Workers</t>
  </si>
  <si>
    <t xml:space="preserve">Average Salary of Tugboat Captain </t>
  </si>
  <si>
    <r>
      <t>BCA Value Provided per MT of CO</t>
    </r>
    <r>
      <rPr>
        <b/>
        <vertAlign val="subscript"/>
        <sz val="7.15"/>
        <color rgb="FF000000"/>
        <rFont val="Calibri"/>
        <family val="2"/>
      </rPr>
      <t>2</t>
    </r>
  </si>
  <si>
    <t>PM2.5 and NOx Total</t>
  </si>
  <si>
    <t>Number of Seamen (non Captain) on Tugboat</t>
  </si>
  <si>
    <t>Average Salary of Tugboat Seamen</t>
  </si>
  <si>
    <t>Turbines Installed per Year</t>
  </si>
  <si>
    <t>Emissions Saved by Wind Energy Production</t>
  </si>
  <si>
    <t>Turbines Assembled and Delivered</t>
  </si>
  <si>
    <t>MW per Turbine</t>
  </si>
  <si>
    <t>MW/year</t>
  </si>
  <si>
    <t>Total MW/year</t>
  </si>
  <si>
    <t>CO2e</t>
  </si>
  <si>
    <t>SO2</t>
  </si>
  <si>
    <t>NOx</t>
  </si>
  <si>
    <t>OS-NOx</t>
  </si>
  <si>
    <t>C02e</t>
  </si>
  <si>
    <t>lbs/MWh</t>
  </si>
  <si>
    <t>t/GWh</t>
  </si>
  <si>
    <t>GWhr</t>
  </si>
  <si>
    <t xml:space="preserve">Metric Tons of CO2 emitted to achieve 1 GWhr power with fossil fuels </t>
  </si>
  <si>
    <t xml:space="preserve">Metric Tons of NOx emitted to achieve 1 GWhr power with fossil fuels </t>
  </si>
  <si>
    <t xml:space="preserve">Metric Tons of SO2 emitted to achieve 1 GWhr power with fossil fuels </t>
  </si>
  <si>
    <t>SO2 Value per BCA Guidance</t>
  </si>
  <si>
    <t>Total value of SO2 emitted</t>
  </si>
  <si>
    <t xml:space="preserve">FOWTs </t>
  </si>
  <si>
    <t>MW/FOWT</t>
  </si>
  <si>
    <t>MW/y</t>
  </si>
  <si>
    <t>Total MW</t>
  </si>
  <si>
    <t>Total value of CO2 emitted to achieve the GWhrs power</t>
  </si>
  <si>
    <t>1. SENSITIVITY ANALYSIS - this analysis assumes that the cost to deploy floating offshore wind turbines is simply too great so the Maine WEA goes undeveloped. There are aditional costs to this result including a lost of 300 - 400 good paying jobs for Mainers who are in need of jobs that allow them to raise families with dignity and generational wealth.</t>
  </si>
  <si>
    <t xml:space="preserve">Tugboat Hours from the WEA to Salem County, New Jersey at 12 knots; 520 NM from the WEA to Salem County, New Jersey </t>
  </si>
  <si>
    <t>https://ww2.arb.ca.gov/sites/default/files/2020-12/hybridreport1010_remediated.pdf</t>
  </si>
  <si>
    <t>Metric Tons of PM 2.5 emitted at 75% load = 97 grams/hour = .000097 MT/hour</t>
  </si>
  <si>
    <t>Metric Tons of CO2 emitted at 75% load = 1005 grams/hour = .001005 MT/hour</t>
  </si>
  <si>
    <t>Total value of CO2 emitted at 75% load</t>
  </si>
  <si>
    <t>Metric Tons of NOx emitted at 75% load = 9,450 grams/hour = .009450 MT/hour</t>
  </si>
  <si>
    <t xml:space="preserve">Tugboat Hours from  WEA to Sears Island, Maine at 12 knots; 110 NM from WEA to Sears Island, Maine </t>
  </si>
  <si>
    <t>Metric Tons of PM 2.5 emitted at 75% load = 97 grams/hour = .000094 MT/hour</t>
  </si>
  <si>
    <t>Total value of PM2.5 emitted at 75% load</t>
  </si>
  <si>
    <t>Metric Tons of CO2 emitted at 75% load = 402 grams/hour = .001005 MT/hour</t>
  </si>
  <si>
    <t>Total value NOX emitted at 75% load</t>
  </si>
  <si>
    <t xml:space="preserve">Tugboat Hours from Sears Island, Maine to WEA at 12 knots; 110 NM form WEA to Sears Island, Maine </t>
  </si>
  <si>
    <t>Tugboat Hours from Salem County, New Jersey to WEA at 12 knots; 520 NM from WEA to Salem County, New Jersey</t>
  </si>
  <si>
    <t>Tugboats (Each turbine requires 3 tugboats)</t>
  </si>
  <si>
    <t>Cost of Seamen going to WEA</t>
  </si>
  <si>
    <t>Cost of Seamen going back to port</t>
  </si>
  <si>
    <t>Cost of Captain going to WEA</t>
  </si>
  <si>
    <t>Cost of Captain going back to port</t>
  </si>
  <si>
    <t>This BCA is based on the assumption that the Maine WEA will be developed but from ports far away shifting from Sears Island (110 nm) to NJ Port (520 nm) from which to deploy the turbines. With each year that goes by and the port is not built the social cost to not using renewable energy goes up.</t>
  </si>
  <si>
    <t>Tugboats to WEA 100% load (each turbine requires 3 tugboats)</t>
  </si>
  <si>
    <t>Tugboats back from WEA 75% load (each turbine requires 3 tugboats)</t>
  </si>
  <si>
    <t>While there are more than 60 oil and gas ports around the country, there are no existing floating offshore wind ports. Without the port infrastructure to assemble and deploy floating offshore wind turbines the Biden Administration and Maine cannot meet their wind energy goal. The port infrastructure is essential to deploying wind energy.</t>
  </si>
  <si>
    <t>This project will build a purpose built port and semi-submersible barge that will be able to assemble and deploy floating offshore wind turbines to the Maine Wind Energy Area (WEA) in the Gulf of Maine.</t>
  </si>
  <si>
    <t xml:space="preserve">The port will create between 300-400 good paying consistent jobs for Mainers. This project is located near Areas of Persistent Poverty and Historically Disadvantaged Communities that will be positively impacted by job creation. And Maine and the nation will benefit from the deployment of wind energy to displace energy created by fossil fuels. </t>
  </si>
  <si>
    <t xml:space="preserve">The 300-400 new high paying port jobs will have a positive impact on the economy. The opening of the Maine WEA which will have a significant economic impact on the nation in supplanting fossil fuel energy with renewable energy.   </t>
  </si>
  <si>
    <t>Barge</t>
  </si>
  <si>
    <t>Port</t>
  </si>
  <si>
    <t>Total</t>
  </si>
  <si>
    <t>Residual Value</t>
  </si>
  <si>
    <t xml:space="preserve">Cost of Asset </t>
  </si>
  <si>
    <t>Life of Asset in Years</t>
  </si>
  <si>
    <t>Annualized Value</t>
  </si>
  <si>
    <t>Value Over Life of Project</t>
  </si>
  <si>
    <t>Asset</t>
  </si>
  <si>
    <t xml:space="preserve">Total value of CO2 emitted </t>
  </si>
  <si>
    <t>CO2</t>
  </si>
  <si>
    <t>Nox</t>
  </si>
  <si>
    <t xml:space="preserve">Total value of NOx emitted </t>
  </si>
  <si>
    <t>Cumulative MW/year</t>
  </si>
  <si>
    <t>FOWT - Floating Offshore Wind Turbines</t>
  </si>
  <si>
    <t xml:space="preserve">The BCR is 11.59/1 based on the advantage to deploying wind turbines from Sears Island. The alternative analysis BCR is 37.30/1 based on the Maine WEA not being developed due to it being too expensive to deploy from locations furhter away or ports that can handle floating offshore wind energy not being constructed.  </t>
  </si>
  <si>
    <t xml:space="preserve">This project will reduce the travel time and operational costs associated with the tugboats required to deploy the wind turbines. It will also decrease the emissions from the tugboats due to the reduced distance between the Sears Island port to the WEA rather than the NJ port which is about 5 times the distance to the WEA. Finally, the project will ultimately allow for wind energy to be utilized throughout Maine which will drastically reduce emissions created by the displacement of fossil fuel energy. </t>
  </si>
  <si>
    <t>Delayed Build - Emissions Homes in Maine</t>
  </si>
  <si>
    <t>Build - Emissions Homes in Maine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</si>
</sst>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quot; &quot;&quot;$&quot;* #,##0&quot; &quot;;&quot; &quot;&quot;$&quot;* \(#,##0\);&quot; &quot;&quot;$&quot;* &quot;-&quot;??&quot; &quot;"/>
    <numFmt numFmtId="165" formatCode="&quot;$&quot;#,##0"/>
    <numFmt numFmtId="166" formatCode="&quot;$&quot;#,##0.00"/>
    <numFmt numFmtId="167" formatCode="_(&quot;$&quot;* #,##0_);_(&quot;$&quot;* \(#,##0\);_(&quot;$&quot;* &quot;-&quot;??_);_(@_)"/>
    <numFmt numFmtId="168" formatCode="_(* #,##0_);_(* \(#,##0\);_(* &quot;-&quot;??_);_(@_)"/>
    <numFmt numFmtId="169" formatCode="0.0"/>
    <numFmt numFmtId="170" formatCode="0.000"/>
  </numFmts>
  <fonts count="29" x14ac:knownFonts="1">
    <font>
      <sz val="12"/>
      <color indexed="8"/>
      <name val="Verdana"/>
    </font>
    <font>
      <sz val="11"/>
      <color theme="1"/>
      <name val="Helvetica"/>
      <family val="2"/>
      <scheme val="minor"/>
    </font>
    <font>
      <sz val="12"/>
      <color indexed="8"/>
      <name val="Verdana"/>
      <family val="2"/>
    </font>
    <font>
      <u/>
      <sz val="12"/>
      <color theme="11"/>
      <name val="Verdana"/>
      <family val="2"/>
    </font>
    <font>
      <sz val="8"/>
      <name val="Verdana"/>
      <family val="2"/>
    </font>
    <font>
      <u/>
      <sz val="12"/>
      <color theme="10"/>
      <name val="Verdana"/>
      <family val="2"/>
    </font>
    <font>
      <b/>
      <sz val="12"/>
      <color indexed="8"/>
      <name val="Times New Roman"/>
      <family val="1"/>
    </font>
    <font>
      <sz val="12"/>
      <color indexed="8"/>
      <name val="Times New Roman"/>
      <family val="1"/>
    </font>
    <font>
      <sz val="12"/>
      <color rgb="FF000000"/>
      <name val="Times New Roman"/>
      <family val="1"/>
    </font>
    <font>
      <b/>
      <sz val="11"/>
      <color indexed="8"/>
      <name val="Times New Roman"/>
      <family val="1"/>
    </font>
    <font>
      <sz val="11"/>
      <color indexed="8"/>
      <name val="Times New Roman"/>
      <family val="1"/>
    </font>
    <font>
      <sz val="11"/>
      <color rgb="FF000000"/>
      <name val="Times New Roman"/>
      <family val="1"/>
    </font>
    <font>
      <b/>
      <sz val="11"/>
      <color rgb="FF000000"/>
      <name val="Times New Roman"/>
      <family val="1"/>
    </font>
    <font>
      <sz val="11"/>
      <name val="Times New Roman"/>
      <family val="1"/>
    </font>
    <font>
      <b/>
      <sz val="24"/>
      <color indexed="8"/>
      <name val="Times New Roman"/>
      <family val="1"/>
    </font>
    <font>
      <sz val="12"/>
      <color indexed="8"/>
      <name val="Verdana"/>
      <family val="2"/>
    </font>
    <font>
      <u/>
      <sz val="12"/>
      <color theme="10"/>
      <name val="Verdana"/>
      <family val="2"/>
    </font>
    <font>
      <b/>
      <vertAlign val="superscript"/>
      <sz val="11"/>
      <color rgb="FF000000"/>
      <name val="Times New Roman"/>
      <family val="1"/>
    </font>
    <font>
      <b/>
      <sz val="14"/>
      <color indexed="8"/>
      <name val="Times New Roman"/>
      <family val="1"/>
    </font>
    <font>
      <sz val="14"/>
      <color indexed="8"/>
      <name val="Times New Roman"/>
      <family val="1"/>
    </font>
    <font>
      <b/>
      <sz val="11"/>
      <color indexed="8"/>
      <name val="Calibri"/>
      <family val="2"/>
    </font>
    <font>
      <b/>
      <vertAlign val="superscript"/>
      <sz val="11"/>
      <color rgb="FF000000"/>
      <name val="Calibri"/>
      <family val="2"/>
    </font>
    <font>
      <b/>
      <vertAlign val="subscript"/>
      <sz val="7.15"/>
      <color rgb="FF000000"/>
      <name val="Calibri"/>
      <family val="2"/>
    </font>
    <font>
      <sz val="11"/>
      <color theme="1"/>
      <name val="Times New Roman"/>
      <family val="1"/>
    </font>
    <font>
      <sz val="12"/>
      <name val="Times New Roman"/>
      <family val="1"/>
    </font>
    <font>
      <b/>
      <sz val="12"/>
      <color indexed="8"/>
      <name val="Verdana"/>
      <family val="2"/>
    </font>
    <font>
      <sz val="12"/>
      <color rgb="FF00B050"/>
      <name val="Verdana"/>
      <family val="2"/>
    </font>
    <font>
      <sz val="12"/>
      <color rgb="FFFF0000"/>
      <name val="Verdana"/>
      <family val="2"/>
    </font>
    <font>
      <b/>
      <sz val="11"/>
      <color theme="1"/>
      <name val="Times New Roman"/>
      <family val="1"/>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39997558519241921"/>
        <bgColor indexed="64"/>
      </patternFill>
    </fill>
    <fill>
      <patternFill patternType="solid">
        <fgColor theme="5" tint="0.39997558519241921"/>
        <bgColor indexed="64"/>
      </patternFill>
    </fill>
    <fill>
      <patternFill patternType="solid">
        <fgColor theme="2" tint="0.59999389629810485"/>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rgb="FFFF0000"/>
        <bgColor indexed="64"/>
      </patternFill>
    </fill>
    <fill>
      <patternFill patternType="solid">
        <fgColor rgb="FFFFC000"/>
        <bgColor indexed="64"/>
      </patternFill>
    </fill>
    <fill>
      <patternFill patternType="solid">
        <fgColor theme="6" tint="0.39997558519241921"/>
        <bgColor indexed="64"/>
      </patternFill>
    </fill>
  </fills>
  <borders count="48">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9"/>
      </left>
      <right style="thin">
        <color indexed="9"/>
      </right>
      <top style="medium">
        <color indexed="8"/>
      </top>
      <bottom style="thin">
        <color indexed="9"/>
      </bottom>
      <diagonal/>
    </border>
    <border>
      <left style="thin">
        <color indexed="9"/>
      </left>
      <right style="medium">
        <color indexed="8"/>
      </right>
      <top style="medium">
        <color indexed="8"/>
      </top>
      <bottom style="thin">
        <color indexed="9"/>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thin">
        <color indexed="8"/>
      </right>
      <top/>
      <bottom style="medium">
        <color indexed="8"/>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style="thin">
        <color indexed="64"/>
      </left>
      <right/>
      <top style="thin">
        <color auto="1"/>
      </top>
      <bottom style="thin">
        <color indexed="64"/>
      </bottom>
      <diagonal/>
    </border>
    <border>
      <left/>
      <right/>
      <top/>
      <bottom style="thin">
        <color auto="1"/>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9"/>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indexed="64"/>
      </left>
      <right/>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s>
  <cellStyleXfs count="2907">
    <xf numFmtId="0" fontId="0" fillId="0" borderId="0" applyNumberFormat="0" applyFill="0" applyBorder="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44" fontId="2" fillId="0" borderId="0" applyFont="0" applyFill="0" applyBorder="0" applyAlignment="0" applyProtection="0"/>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43" fontId="15" fillId="0" borderId="0" applyFont="0" applyFill="0" applyBorder="0" applyAlignment="0" applyProtection="0"/>
    <xf numFmtId="0" fontId="16" fillId="0" borderId="0" applyNumberFormat="0" applyFill="0" applyBorder="0" applyAlignment="0" applyProtection="0">
      <alignment vertical="top" wrapText="1"/>
    </xf>
    <xf numFmtId="0" fontId="1" fillId="0" borderId="0"/>
    <xf numFmtId="43" fontId="1" fillId="0" borderId="0" applyFont="0" applyFill="0" applyBorder="0" applyAlignment="0" applyProtection="0"/>
  </cellStyleXfs>
  <cellXfs count="228">
    <xf numFmtId="0" fontId="0" fillId="0" borderId="0" xfId="0">
      <alignment vertical="top" wrapText="1"/>
    </xf>
    <xf numFmtId="0" fontId="7" fillId="0" borderId="12" xfId="0" applyNumberFormat="1" applyFont="1" applyBorder="1" applyAlignment="1"/>
    <xf numFmtId="167" fontId="7" fillId="0" borderId="1" xfId="911" applyNumberFormat="1" applyFont="1" applyBorder="1" applyAlignment="1"/>
    <xf numFmtId="0" fontId="7" fillId="0" borderId="13" xfId="0" applyNumberFormat="1" applyFont="1" applyBorder="1" applyAlignment="1"/>
    <xf numFmtId="0" fontId="7" fillId="0" borderId="14" xfId="0" applyNumberFormat="1" applyFont="1" applyBorder="1" applyAlignment="1"/>
    <xf numFmtId="1" fontId="7" fillId="0" borderId="16" xfId="0" applyNumberFormat="1" applyFont="1" applyBorder="1" applyAlignment="1"/>
    <xf numFmtId="1" fontId="7" fillId="0" borderId="17" xfId="0" applyNumberFormat="1" applyFont="1" applyBorder="1" applyAlignment="1"/>
    <xf numFmtId="0" fontId="10" fillId="0" borderId="0" xfId="0" applyNumberFormat="1" applyFont="1">
      <alignment vertical="top" wrapText="1"/>
    </xf>
    <xf numFmtId="0" fontId="10" fillId="0" borderId="0" xfId="0" applyFont="1">
      <alignment vertical="top" wrapText="1"/>
    </xf>
    <xf numFmtId="0" fontId="10" fillId="0" borderId="9" xfId="0" applyNumberFormat="1" applyFont="1" applyFill="1" applyBorder="1">
      <alignment vertical="top" wrapText="1"/>
    </xf>
    <xf numFmtId="0" fontId="6" fillId="6" borderId="21" xfId="0" applyNumberFormat="1" applyFont="1" applyFill="1" applyBorder="1" applyAlignment="1">
      <alignment horizontal="center"/>
    </xf>
    <xf numFmtId="0" fontId="6" fillId="6" borderId="3" xfId="0" applyNumberFormat="1" applyFont="1" applyFill="1" applyBorder="1" applyAlignment="1">
      <alignment horizontal="center"/>
    </xf>
    <xf numFmtId="0" fontId="10" fillId="0" borderId="10" xfId="0" applyNumberFormat="1" applyFont="1" applyBorder="1">
      <alignment vertical="top" wrapText="1"/>
    </xf>
    <xf numFmtId="0" fontId="7" fillId="0" borderId="0" xfId="0" applyNumberFormat="1" applyFont="1">
      <alignment vertical="top" wrapText="1"/>
    </xf>
    <xf numFmtId="0" fontId="7" fillId="0" borderId="0" xfId="0" applyFont="1">
      <alignment vertical="top" wrapText="1"/>
    </xf>
    <xf numFmtId="167" fontId="7" fillId="0" borderId="0" xfId="0" applyNumberFormat="1" applyFont="1">
      <alignment vertical="top" wrapText="1"/>
    </xf>
    <xf numFmtId="167" fontId="10" fillId="0" borderId="22" xfId="911" applyNumberFormat="1" applyFont="1" applyBorder="1" applyAlignment="1"/>
    <xf numFmtId="167" fontId="7" fillId="0" borderId="0" xfId="911" applyNumberFormat="1" applyFont="1" applyAlignment="1">
      <alignment vertical="top" wrapText="1"/>
    </xf>
    <xf numFmtId="0" fontId="9" fillId="6" borderId="10" xfId="0" applyNumberFormat="1" applyFont="1" applyFill="1" applyBorder="1" applyAlignment="1">
      <alignment horizontal="center" wrapText="1"/>
    </xf>
    <xf numFmtId="166" fontId="9" fillId="6" borderId="10" xfId="0" applyNumberFormat="1" applyFont="1" applyFill="1" applyBorder="1" applyAlignment="1">
      <alignment horizontal="center" wrapText="1"/>
    </xf>
    <xf numFmtId="0" fontId="10" fillId="0" borderId="10" xfId="0" applyNumberFormat="1" applyFont="1" applyBorder="1" applyAlignment="1"/>
    <xf numFmtId="0" fontId="11" fillId="0" borderId="10" xfId="0" applyFont="1" applyBorder="1" applyAlignment="1"/>
    <xf numFmtId="3" fontId="10" fillId="0" borderId="10" xfId="0" applyNumberFormat="1" applyFont="1" applyBorder="1" applyAlignment="1"/>
    <xf numFmtId="165" fontId="10" fillId="0" borderId="10" xfId="0" applyNumberFormat="1" applyFont="1" applyBorder="1" applyAlignment="1"/>
    <xf numFmtId="167" fontId="10" fillId="0" borderId="10" xfId="911" applyNumberFormat="1" applyFont="1" applyBorder="1" applyAlignment="1"/>
    <xf numFmtId="167" fontId="11" fillId="0" borderId="10" xfId="911" applyNumberFormat="1" applyFont="1" applyBorder="1" applyAlignment="1"/>
    <xf numFmtId="1" fontId="9" fillId="3" borderId="10" xfId="0" applyNumberFormat="1" applyFont="1" applyFill="1" applyBorder="1" applyAlignment="1"/>
    <xf numFmtId="0" fontId="9" fillId="3" borderId="10" xfId="0" applyNumberFormat="1" applyFont="1" applyFill="1" applyBorder="1" applyAlignment="1"/>
    <xf numFmtId="167" fontId="9" fillId="3" borderId="10" xfId="911" applyNumberFormat="1" applyFont="1" applyFill="1" applyBorder="1" applyAlignment="1"/>
    <xf numFmtId="0" fontId="9" fillId="3" borderId="22" xfId="0" applyNumberFormat="1" applyFont="1" applyFill="1" applyBorder="1" applyAlignment="1"/>
    <xf numFmtId="167" fontId="9" fillId="3" borderId="22" xfId="911" applyNumberFormat="1" applyFont="1" applyFill="1" applyBorder="1" applyAlignment="1"/>
    <xf numFmtId="44" fontId="10" fillId="0" borderId="22" xfId="911" applyFont="1" applyBorder="1" applyAlignment="1"/>
    <xf numFmtId="44" fontId="10" fillId="0" borderId="10" xfId="911" applyFont="1" applyBorder="1" applyAlignment="1"/>
    <xf numFmtId="0" fontId="16" fillId="0" borderId="0" xfId="2904" applyAlignment="1">
      <alignment vertical="center" wrapText="1"/>
    </xf>
    <xf numFmtId="0" fontId="7" fillId="0" borderId="10" xfId="0" applyFont="1" applyBorder="1" applyAlignment="1">
      <alignment horizontal="justify" vertical="top" wrapText="1"/>
    </xf>
    <xf numFmtId="0" fontId="13" fillId="0" borderId="34" xfId="0" applyNumberFormat="1" applyFont="1" applyFill="1" applyBorder="1" applyAlignment="1">
      <alignment horizontal="left" vertical="top" wrapText="1"/>
    </xf>
    <xf numFmtId="0" fontId="8" fillId="0" borderId="10" xfId="0" applyFont="1" applyBorder="1" applyAlignment="1">
      <alignment horizontal="justify" vertical="top" wrapText="1"/>
    </xf>
    <xf numFmtId="0" fontId="18" fillId="4" borderId="35" xfId="0" applyNumberFormat="1" applyFont="1" applyFill="1" applyBorder="1" applyAlignment="1">
      <alignment horizontal="center" wrapText="1"/>
    </xf>
    <xf numFmtId="0" fontId="18" fillId="6" borderId="36" xfId="0" applyNumberFormat="1" applyFont="1" applyFill="1" applyBorder="1" applyAlignment="1">
      <alignment horizontal="center" wrapText="1"/>
    </xf>
    <xf numFmtId="0" fontId="18" fillId="6" borderId="7" xfId="0" applyNumberFormat="1" applyFont="1" applyFill="1" applyBorder="1" applyAlignment="1">
      <alignment horizontal="center" wrapText="1"/>
    </xf>
    <xf numFmtId="0" fontId="18" fillId="6" borderId="8" xfId="0" applyNumberFormat="1" applyFont="1" applyFill="1" applyBorder="1" applyAlignment="1">
      <alignment horizontal="center" wrapText="1"/>
    </xf>
    <xf numFmtId="0" fontId="19" fillId="0" borderId="0" xfId="0" applyNumberFormat="1" applyFont="1">
      <alignment vertical="top" wrapText="1"/>
    </xf>
    <xf numFmtId="0" fontId="19" fillId="0" borderId="0" xfId="0" applyFont="1">
      <alignment vertical="top" wrapText="1"/>
    </xf>
    <xf numFmtId="166" fontId="20" fillId="7" borderId="10" xfId="0" applyNumberFormat="1" applyFont="1" applyFill="1" applyBorder="1" applyAlignment="1">
      <alignment horizontal="center" wrapText="1"/>
    </xf>
    <xf numFmtId="165" fontId="10" fillId="7" borderId="10" xfId="0" applyNumberFormat="1" applyFont="1" applyFill="1" applyBorder="1" applyAlignment="1"/>
    <xf numFmtId="167" fontId="10" fillId="7" borderId="10" xfId="911" applyNumberFormat="1" applyFont="1" applyFill="1" applyBorder="1" applyAlignment="1"/>
    <xf numFmtId="0" fontId="10" fillId="7" borderId="10" xfId="911" applyNumberFormat="1" applyFont="1" applyFill="1" applyBorder="1" applyAlignment="1"/>
    <xf numFmtId="1" fontId="10" fillId="6" borderId="2" xfId="0" applyNumberFormat="1" applyFont="1" applyFill="1" applyBorder="1" applyAlignment="1"/>
    <xf numFmtId="0" fontId="9" fillId="6" borderId="2" xfId="0" applyNumberFormat="1" applyFont="1" applyFill="1" applyBorder="1" applyAlignment="1">
      <alignment horizontal="center"/>
    </xf>
    <xf numFmtId="0" fontId="9" fillId="6" borderId="22" xfId="0" applyNumberFormat="1" applyFont="1" applyFill="1" applyBorder="1" applyAlignment="1"/>
    <xf numFmtId="0" fontId="9" fillId="6" borderId="22" xfId="0" applyNumberFormat="1" applyFont="1" applyFill="1" applyBorder="1" applyAlignment="1">
      <alignment wrapText="1"/>
    </xf>
    <xf numFmtId="44" fontId="10" fillId="2" borderId="22" xfId="911" applyFont="1" applyFill="1" applyBorder="1" applyAlignment="1"/>
    <xf numFmtId="167" fontId="10" fillId="2" borderId="22" xfId="911" applyNumberFormat="1" applyFont="1" applyFill="1" applyBorder="1" applyAlignment="1"/>
    <xf numFmtId="44" fontId="9" fillId="3" borderId="22" xfId="911" applyFont="1" applyFill="1" applyBorder="1" applyAlignment="1"/>
    <xf numFmtId="2" fontId="10" fillId="5" borderId="22" xfId="0" applyNumberFormat="1" applyFont="1" applyFill="1" applyBorder="1" applyAlignment="1"/>
    <xf numFmtId="167" fontId="7" fillId="0" borderId="15" xfId="911" applyNumberFormat="1" applyFont="1" applyBorder="1" applyAlignment="1"/>
    <xf numFmtId="0" fontId="7" fillId="0" borderId="0" xfId="0" applyNumberFormat="1" applyFont="1" applyFill="1">
      <alignment vertical="top" wrapText="1"/>
    </xf>
    <xf numFmtId="0" fontId="7" fillId="0" borderId="38" xfId="0" applyNumberFormat="1" applyFont="1" applyBorder="1" applyAlignment="1"/>
    <xf numFmtId="167" fontId="7" fillId="0" borderId="39" xfId="911" applyNumberFormat="1" applyFont="1" applyBorder="1" applyAlignment="1"/>
    <xf numFmtId="44" fontId="10" fillId="2" borderId="10" xfId="911" applyFont="1" applyFill="1" applyBorder="1" applyAlignment="1"/>
    <xf numFmtId="44" fontId="9" fillId="3" borderId="10" xfId="911" applyFont="1" applyFill="1" applyBorder="1" applyAlignment="1"/>
    <xf numFmtId="44" fontId="10" fillId="0" borderId="0" xfId="911" applyFont="1" applyAlignment="1">
      <alignment vertical="top" wrapText="1"/>
    </xf>
    <xf numFmtId="0" fontId="20" fillId="6" borderId="40" xfId="0" applyNumberFormat="1" applyFont="1" applyFill="1" applyBorder="1" applyAlignment="1">
      <alignment horizontal="center" wrapText="1"/>
    </xf>
    <xf numFmtId="44" fontId="9" fillId="6" borderId="10" xfId="911" applyFont="1" applyFill="1" applyBorder="1" applyAlignment="1">
      <alignment horizontal="center" wrapText="1"/>
    </xf>
    <xf numFmtId="2" fontId="9" fillId="6" borderId="10" xfId="911" applyNumberFormat="1" applyFont="1" applyFill="1" applyBorder="1" applyAlignment="1">
      <alignment horizontal="center" wrapText="1"/>
    </xf>
    <xf numFmtId="2" fontId="10" fillId="2" borderId="10" xfId="911" applyNumberFormat="1" applyFont="1" applyFill="1" applyBorder="1" applyAlignment="1"/>
    <xf numFmtId="2" fontId="9" fillId="3" borderId="10" xfId="911" applyNumberFormat="1" applyFont="1" applyFill="1" applyBorder="1" applyAlignment="1"/>
    <xf numFmtId="2" fontId="10" fillId="0" borderId="0" xfId="911" applyNumberFormat="1" applyFont="1" applyAlignment="1">
      <alignment vertical="top" wrapText="1"/>
    </xf>
    <xf numFmtId="167" fontId="10" fillId="2" borderId="10" xfId="911" applyNumberFormat="1" applyFont="1" applyFill="1" applyBorder="1" applyAlignment="1"/>
    <xf numFmtId="167" fontId="9" fillId="6" borderId="10" xfId="911" applyNumberFormat="1" applyFont="1" applyFill="1" applyBorder="1" applyAlignment="1">
      <alignment horizontal="center" wrapText="1"/>
    </xf>
    <xf numFmtId="167" fontId="10" fillId="0" borderId="0" xfId="911" applyNumberFormat="1" applyFont="1" applyAlignment="1">
      <alignment vertical="top" wrapText="1"/>
    </xf>
    <xf numFmtId="0" fontId="10" fillId="9" borderId="0" xfId="0" applyNumberFormat="1" applyFont="1" applyFill="1">
      <alignment vertical="top" wrapText="1"/>
    </xf>
    <xf numFmtId="167" fontId="20" fillId="6" borderId="10" xfId="911" applyNumberFormat="1" applyFont="1" applyFill="1" applyBorder="1" applyAlignment="1">
      <alignment horizontal="center" wrapText="1"/>
    </xf>
    <xf numFmtId="0" fontId="10" fillId="2" borderId="10" xfId="0" applyNumberFormat="1" applyFont="1" applyFill="1" applyBorder="1" applyAlignment="1"/>
    <xf numFmtId="0" fontId="10" fillId="2" borderId="10" xfId="911" applyNumberFormat="1" applyFont="1" applyFill="1" applyBorder="1" applyAlignment="1"/>
    <xf numFmtId="0" fontId="9" fillId="3" borderId="10" xfId="911" applyNumberFormat="1" applyFont="1" applyFill="1" applyBorder="1" applyAlignment="1"/>
    <xf numFmtId="0" fontId="10" fillId="0" borderId="0" xfId="911" applyNumberFormat="1" applyFont="1" applyAlignment="1">
      <alignment vertical="top" wrapText="1"/>
    </xf>
    <xf numFmtId="0" fontId="10" fillId="0" borderId="0" xfId="0" applyNumberFormat="1" applyFont="1" applyFill="1">
      <alignment vertical="top" wrapText="1"/>
    </xf>
    <xf numFmtId="3" fontId="10" fillId="0" borderId="0" xfId="0" applyNumberFormat="1" applyFont="1" applyFill="1">
      <alignment vertical="top" wrapText="1"/>
    </xf>
    <xf numFmtId="167" fontId="10" fillId="0" borderId="0" xfId="0" applyNumberFormat="1" applyFont="1">
      <alignment vertical="top" wrapText="1"/>
    </xf>
    <xf numFmtId="0" fontId="9" fillId="0" borderId="0" xfId="0" applyNumberFormat="1" applyFont="1">
      <alignment vertical="top" wrapText="1"/>
    </xf>
    <xf numFmtId="166" fontId="10" fillId="2" borderId="10" xfId="911" applyNumberFormat="1" applyFont="1" applyFill="1" applyBorder="1" applyAlignment="1"/>
    <xf numFmtId="166" fontId="9" fillId="3" borderId="10" xfId="911" applyNumberFormat="1" applyFont="1" applyFill="1" applyBorder="1" applyAlignment="1"/>
    <xf numFmtId="166" fontId="9" fillId="6" borderId="10" xfId="911" applyNumberFormat="1" applyFont="1" applyFill="1" applyBorder="1" applyAlignment="1">
      <alignment horizontal="center" wrapText="1"/>
    </xf>
    <xf numFmtId="166" fontId="0" fillId="0" borderId="0" xfId="0" applyNumberFormat="1">
      <alignment vertical="top" wrapText="1"/>
    </xf>
    <xf numFmtId="0" fontId="9" fillId="6" borderId="10" xfId="911" applyNumberFormat="1" applyFont="1" applyFill="1" applyBorder="1" applyAlignment="1">
      <alignment horizontal="center" wrapText="1"/>
    </xf>
    <xf numFmtId="0" fontId="0" fillId="0" borderId="0" xfId="0" applyNumberFormat="1">
      <alignment vertical="top" wrapText="1"/>
    </xf>
    <xf numFmtId="0" fontId="2" fillId="0" borderId="0" xfId="0" applyFont="1">
      <alignment vertical="top" wrapText="1"/>
    </xf>
    <xf numFmtId="165" fontId="10" fillId="2" borderId="10" xfId="0" applyNumberFormat="1" applyFont="1" applyFill="1" applyBorder="1" applyAlignment="1"/>
    <xf numFmtId="167" fontId="9" fillId="10" borderId="0" xfId="0" applyNumberFormat="1" applyFont="1" applyFill="1">
      <alignment vertical="top" wrapText="1"/>
    </xf>
    <xf numFmtId="168" fontId="10" fillId="2" borderId="10" xfId="2903" applyNumberFormat="1" applyFont="1" applyFill="1" applyBorder="1" applyAlignment="1"/>
    <xf numFmtId="0" fontId="0" fillId="0" borderId="30" xfId="0" applyBorder="1" applyAlignment="1">
      <alignment horizontal="center"/>
    </xf>
    <xf numFmtId="0" fontId="0" fillId="0" borderId="37" xfId="0" applyBorder="1" applyAlignment="1">
      <alignment horizontal="center"/>
    </xf>
    <xf numFmtId="0" fontId="0" fillId="0" borderId="26" xfId="0" applyBorder="1" applyAlignment="1">
      <alignment horizontal="center"/>
    </xf>
    <xf numFmtId="0" fontId="10" fillId="0" borderId="42" xfId="0" applyFont="1" applyBorder="1" applyAlignment="1">
      <alignment horizontal="center"/>
    </xf>
    <xf numFmtId="0" fontId="10" fillId="0" borderId="10" xfId="0" applyFont="1" applyBorder="1" applyAlignment="1">
      <alignment horizontal="center"/>
    </xf>
    <xf numFmtId="0" fontId="0" fillId="0" borderId="2" xfId="0" applyBorder="1" applyAlignment="1">
      <alignment horizontal="center"/>
    </xf>
    <xf numFmtId="0" fontId="10" fillId="0" borderId="0" xfId="0" applyFont="1" applyAlignment="1">
      <alignment horizontal="center"/>
    </xf>
    <xf numFmtId="0" fontId="10" fillId="0" borderId="25" xfId="0" applyFont="1" applyBorder="1" applyAlignment="1">
      <alignment horizontal="center"/>
    </xf>
    <xf numFmtId="0" fontId="23" fillId="0" borderId="10" xfId="0" applyFont="1" applyFill="1" applyBorder="1" applyAlignment="1">
      <alignment horizontal="center"/>
    </xf>
    <xf numFmtId="0" fontId="0" fillId="0" borderId="41" xfId="0" applyBorder="1" applyAlignment="1">
      <alignment horizontal="center"/>
    </xf>
    <xf numFmtId="0" fontId="0" fillId="0" borderId="32" xfId="0" applyBorder="1" applyAlignment="1">
      <alignment horizontal="center"/>
    </xf>
    <xf numFmtId="0" fontId="0" fillId="0" borderId="0" xfId="0" applyAlignment="1"/>
    <xf numFmtId="0" fontId="0" fillId="0" borderId="33" xfId="0" applyBorder="1" applyAlignment="1">
      <alignment horizontal="center"/>
    </xf>
    <xf numFmtId="170" fontId="0" fillId="0" borderId="41" xfId="0" applyNumberFormat="1" applyBorder="1" applyAlignment="1">
      <alignment horizontal="center"/>
    </xf>
    <xf numFmtId="1" fontId="0" fillId="0" borderId="30" xfId="0" applyNumberFormat="1" applyBorder="1" applyAlignment="1">
      <alignment horizontal="center"/>
    </xf>
    <xf numFmtId="169" fontId="0" fillId="0" borderId="42" xfId="0" applyNumberFormat="1" applyBorder="1" applyAlignment="1">
      <alignment horizontal="center"/>
    </xf>
    <xf numFmtId="170" fontId="0" fillId="0" borderId="42" xfId="0" applyNumberFormat="1" applyBorder="1" applyAlignment="1">
      <alignment horizontal="center"/>
    </xf>
    <xf numFmtId="1" fontId="0" fillId="0" borderId="37" xfId="0" applyNumberFormat="1" applyBorder="1" applyAlignment="1">
      <alignment horizontal="center"/>
    </xf>
    <xf numFmtId="170" fontId="0" fillId="0" borderId="2" xfId="0" applyNumberFormat="1" applyBorder="1" applyAlignment="1">
      <alignment horizontal="center"/>
    </xf>
    <xf numFmtId="1" fontId="0" fillId="0" borderId="26" xfId="0" applyNumberFormat="1" applyBorder="1" applyAlignment="1">
      <alignment horizontal="center"/>
    </xf>
    <xf numFmtId="1" fontId="0" fillId="0" borderId="41" xfId="0" applyNumberFormat="1" applyBorder="1" applyAlignment="1">
      <alignment horizontal="center"/>
    </xf>
    <xf numFmtId="1" fontId="0" fillId="0" borderId="42" xfId="0" applyNumberFormat="1" applyBorder="1" applyAlignment="1">
      <alignment horizontal="center"/>
    </xf>
    <xf numFmtId="1" fontId="0" fillId="0" borderId="2" xfId="0" applyNumberFormat="1" applyBorder="1" applyAlignment="1">
      <alignment horizontal="center"/>
    </xf>
    <xf numFmtId="169" fontId="0" fillId="0" borderId="2" xfId="0" applyNumberFormat="1" applyBorder="1" applyAlignment="1">
      <alignment horizontal="center"/>
    </xf>
    <xf numFmtId="0" fontId="0" fillId="0" borderId="10" xfId="0" applyBorder="1" applyAlignment="1">
      <alignment horizontal="center"/>
    </xf>
    <xf numFmtId="0" fontId="0" fillId="0" borderId="27" xfId="0" applyBorder="1" applyAlignment="1">
      <alignment horizontal="center"/>
    </xf>
    <xf numFmtId="1" fontId="10" fillId="2" borderId="10" xfId="0" applyNumberFormat="1" applyFont="1" applyFill="1" applyBorder="1" applyAlignment="1"/>
    <xf numFmtId="0" fontId="10" fillId="0" borderId="10" xfId="911" applyNumberFormat="1" applyFont="1" applyBorder="1" applyAlignment="1"/>
    <xf numFmtId="168" fontId="10" fillId="0" borderId="10" xfId="2903" applyNumberFormat="1" applyFont="1" applyBorder="1" applyAlignment="1"/>
    <xf numFmtId="3" fontId="10" fillId="0" borderId="10" xfId="0" applyNumberFormat="1" applyFont="1" applyFill="1" applyBorder="1" applyAlignment="1"/>
    <xf numFmtId="0" fontId="7" fillId="0" borderId="13" xfId="0" applyNumberFormat="1" applyFont="1" applyFill="1" applyBorder="1" applyAlignment="1"/>
    <xf numFmtId="0" fontId="11" fillId="0" borderId="10" xfId="0" applyFont="1" applyFill="1" applyBorder="1" applyAlignment="1"/>
    <xf numFmtId="0" fontId="10" fillId="0" borderId="10" xfId="0" applyNumberFormat="1" applyFont="1" applyFill="1" applyBorder="1">
      <alignment vertical="top" wrapText="1"/>
    </xf>
    <xf numFmtId="0" fontId="7" fillId="11" borderId="13" xfId="0" applyNumberFormat="1" applyFont="1" applyFill="1" applyBorder="1" applyAlignment="1"/>
    <xf numFmtId="0" fontId="11" fillId="11" borderId="10" xfId="0" applyFont="1" applyFill="1" applyBorder="1" applyAlignment="1"/>
    <xf numFmtId="0" fontId="6" fillId="11" borderId="13" xfId="0" applyNumberFormat="1" applyFont="1" applyFill="1" applyBorder="1" applyAlignment="1"/>
    <xf numFmtId="0" fontId="12" fillId="11" borderId="10" xfId="0" applyFont="1" applyFill="1" applyBorder="1" applyAlignment="1"/>
    <xf numFmtId="167" fontId="9" fillId="12" borderId="0" xfId="0" applyNumberFormat="1" applyFont="1" applyFill="1">
      <alignment vertical="top" wrapText="1"/>
    </xf>
    <xf numFmtId="0" fontId="9" fillId="4" borderId="10" xfId="0" applyNumberFormat="1" applyFont="1" applyFill="1" applyBorder="1" applyAlignment="1">
      <alignment horizontal="center" wrapText="1"/>
    </xf>
    <xf numFmtId="44" fontId="9" fillId="4" borderId="10" xfId="911" applyFont="1" applyFill="1" applyBorder="1" applyAlignment="1">
      <alignment horizontal="center" wrapText="1"/>
    </xf>
    <xf numFmtId="2" fontId="9" fillId="4" borderId="10" xfId="911" applyNumberFormat="1" applyFont="1" applyFill="1" applyBorder="1" applyAlignment="1">
      <alignment horizontal="center" wrapText="1"/>
    </xf>
    <xf numFmtId="167" fontId="9" fillId="4" borderId="10" xfId="911" applyNumberFormat="1" applyFont="1" applyFill="1" applyBorder="1" applyAlignment="1">
      <alignment horizontal="center" wrapText="1"/>
    </xf>
    <xf numFmtId="167" fontId="20" fillId="4" borderId="10" xfId="911" applyNumberFormat="1" applyFont="1" applyFill="1" applyBorder="1" applyAlignment="1">
      <alignment horizontal="center" wrapText="1"/>
    </xf>
    <xf numFmtId="0" fontId="20" fillId="4" borderId="40" xfId="0" applyNumberFormat="1" applyFont="1" applyFill="1" applyBorder="1" applyAlignment="1">
      <alignment horizontal="center" wrapText="1"/>
    </xf>
    <xf numFmtId="166" fontId="9" fillId="4" borderId="10" xfId="0" applyNumberFormat="1" applyFont="1" applyFill="1" applyBorder="1" applyAlignment="1">
      <alignment horizontal="center" wrapText="1"/>
    </xf>
    <xf numFmtId="0" fontId="10" fillId="0" borderId="10" xfId="0" applyFont="1" applyFill="1" applyBorder="1" applyAlignment="1">
      <alignment horizontal="center"/>
    </xf>
    <xf numFmtId="169" fontId="0" fillId="0" borderId="10" xfId="0" applyNumberFormat="1" applyFill="1" applyBorder="1" applyAlignment="1">
      <alignment horizontal="center"/>
    </xf>
    <xf numFmtId="0" fontId="6" fillId="13" borderId="3" xfId="0" applyNumberFormat="1" applyFont="1" applyFill="1" applyBorder="1" applyAlignment="1">
      <alignment horizontal="center"/>
    </xf>
    <xf numFmtId="164" fontId="7" fillId="13" borderId="1" xfId="0" applyNumberFormat="1" applyFont="1" applyFill="1" applyBorder="1" applyAlignment="1"/>
    <xf numFmtId="164" fontId="7" fillId="13" borderId="11" xfId="0" applyNumberFormat="1" applyFont="1" applyFill="1" applyBorder="1" applyAlignment="1"/>
    <xf numFmtId="164" fontId="7" fillId="13" borderId="43" xfId="0" applyNumberFormat="1" applyFont="1" applyFill="1" applyBorder="1" applyAlignment="1"/>
    <xf numFmtId="0" fontId="6" fillId="6" borderId="44" xfId="0" applyNumberFormat="1" applyFont="1" applyFill="1" applyBorder="1" applyAlignment="1">
      <alignment horizontal="center"/>
    </xf>
    <xf numFmtId="167" fontId="7" fillId="0" borderId="3" xfId="911" applyNumberFormat="1" applyFont="1" applyBorder="1" applyAlignment="1"/>
    <xf numFmtId="167" fontId="7" fillId="0" borderId="10" xfId="911" applyNumberFormat="1" applyFont="1" applyBorder="1" applyAlignment="1">
      <alignment vertical="top" wrapText="1"/>
    </xf>
    <xf numFmtId="167" fontId="7" fillId="0" borderId="0" xfId="911" applyNumberFormat="1" applyFont="1" applyBorder="1" applyAlignment="1">
      <alignment vertical="top" wrapText="1"/>
    </xf>
    <xf numFmtId="0" fontId="10" fillId="0" borderId="37" xfId="0" applyFont="1" applyFill="1" applyBorder="1" applyAlignment="1">
      <alignment horizontal="center"/>
    </xf>
    <xf numFmtId="0" fontId="10" fillId="0" borderId="0" xfId="0" applyNumberFormat="1" applyFont="1" applyFill="1" applyAlignment="1">
      <alignment vertical="top"/>
    </xf>
    <xf numFmtId="0" fontId="10" fillId="0" borderId="0" xfId="0" applyNumberFormat="1" applyFont="1" applyAlignment="1">
      <alignment vertical="top"/>
    </xf>
    <xf numFmtId="0" fontId="24" fillId="11" borderId="13" xfId="0" applyNumberFormat="1" applyFont="1" applyFill="1" applyBorder="1" applyAlignment="1"/>
    <xf numFmtId="0" fontId="13" fillId="11" borderId="10" xfId="0" applyFont="1" applyFill="1" applyBorder="1" applyAlignment="1"/>
    <xf numFmtId="0" fontId="9" fillId="6" borderId="45" xfId="0" applyNumberFormat="1" applyFont="1" applyFill="1" applyBorder="1" applyAlignment="1">
      <alignment wrapText="1"/>
    </xf>
    <xf numFmtId="44" fontId="10" fillId="0" borderId="45" xfId="911" applyFont="1" applyBorder="1" applyAlignment="1"/>
    <xf numFmtId="167" fontId="10" fillId="0" borderId="45" xfId="911" applyNumberFormat="1" applyFont="1" applyBorder="1" applyAlignment="1"/>
    <xf numFmtId="0" fontId="9" fillId="6" borderId="45" xfId="0" applyNumberFormat="1" applyFont="1" applyFill="1" applyBorder="1" applyAlignment="1"/>
    <xf numFmtId="1" fontId="10" fillId="2" borderId="46" xfId="0" applyNumberFormat="1" applyFont="1" applyFill="1" applyBorder="1" applyAlignment="1"/>
    <xf numFmtId="1" fontId="10" fillId="2" borderId="42" xfId="0" applyNumberFormat="1" applyFont="1" applyFill="1" applyBorder="1" applyAlignment="1"/>
    <xf numFmtId="1" fontId="10" fillId="2" borderId="2" xfId="0" applyNumberFormat="1" applyFont="1" applyFill="1" applyBorder="1" applyAlignment="1"/>
    <xf numFmtId="0" fontId="10" fillId="0" borderId="45" xfId="0" applyFont="1" applyBorder="1">
      <alignment vertical="top" wrapText="1"/>
    </xf>
    <xf numFmtId="167" fontId="10" fillId="0" borderId="45" xfId="911" applyNumberFormat="1" applyFont="1" applyBorder="1" applyAlignment="1">
      <alignment vertical="top" wrapText="1"/>
    </xf>
    <xf numFmtId="167" fontId="10" fillId="0" borderId="45" xfId="0" applyNumberFormat="1" applyFont="1" applyBorder="1">
      <alignment vertical="top" wrapText="1"/>
    </xf>
    <xf numFmtId="0" fontId="10" fillId="3" borderId="45" xfId="0" applyFont="1" applyFill="1" applyBorder="1">
      <alignment vertical="top" wrapText="1"/>
    </xf>
    <xf numFmtId="167" fontId="10" fillId="3" borderId="45" xfId="0" applyNumberFormat="1" applyFont="1" applyFill="1" applyBorder="1">
      <alignment vertical="top" wrapText="1"/>
    </xf>
    <xf numFmtId="0" fontId="10" fillId="0" borderId="47" xfId="0" applyFont="1" applyBorder="1">
      <alignment vertical="top" wrapText="1"/>
    </xf>
    <xf numFmtId="0" fontId="10" fillId="8" borderId="0" xfId="0" applyFont="1" applyFill="1" applyBorder="1">
      <alignment vertical="top" wrapText="1"/>
    </xf>
    <xf numFmtId="0" fontId="10" fillId="8" borderId="42" xfId="0" applyFont="1" applyFill="1" applyBorder="1">
      <alignment vertical="top" wrapText="1"/>
    </xf>
    <xf numFmtId="0" fontId="10" fillId="8" borderId="2" xfId="0" applyFont="1" applyFill="1" applyBorder="1">
      <alignment vertical="top" wrapText="1"/>
    </xf>
    <xf numFmtId="0" fontId="10" fillId="0" borderId="45" xfId="911" applyNumberFormat="1" applyFont="1" applyBorder="1" applyAlignment="1">
      <alignment vertical="top" wrapText="1"/>
    </xf>
    <xf numFmtId="0" fontId="10" fillId="6" borderId="47" xfId="0" applyFont="1" applyFill="1" applyBorder="1">
      <alignment vertical="top" wrapText="1"/>
    </xf>
    <xf numFmtId="167" fontId="10" fillId="6" borderId="45" xfId="911" applyNumberFormat="1" applyFont="1" applyFill="1" applyBorder="1" applyAlignment="1">
      <alignment vertical="top" wrapText="1"/>
    </xf>
    <xf numFmtId="0" fontId="10" fillId="6" borderId="45" xfId="911" applyNumberFormat="1" applyFont="1" applyFill="1" applyBorder="1" applyAlignment="1">
      <alignment vertical="top" wrapText="1"/>
    </xf>
    <xf numFmtId="0" fontId="10" fillId="6" borderId="45" xfId="0" applyFont="1" applyFill="1" applyBorder="1">
      <alignment vertical="top" wrapText="1"/>
    </xf>
    <xf numFmtId="0" fontId="11" fillId="0" borderId="45" xfId="0" applyFont="1" applyBorder="1" applyAlignment="1"/>
    <xf numFmtId="0" fontId="10" fillId="0" borderId="45" xfId="0" applyFont="1" applyBorder="1" applyAlignment="1">
      <alignment horizontal="center"/>
    </xf>
    <xf numFmtId="0" fontId="10" fillId="2" borderId="45" xfId="0" applyNumberFormat="1" applyFont="1" applyFill="1" applyBorder="1" applyAlignment="1"/>
    <xf numFmtId="167" fontId="10" fillId="2" borderId="45" xfId="911" applyNumberFormat="1" applyFont="1" applyFill="1" applyBorder="1" applyAlignment="1"/>
    <xf numFmtId="0" fontId="10" fillId="2" borderId="45" xfId="911" applyNumberFormat="1" applyFont="1" applyFill="1" applyBorder="1" applyAlignment="1"/>
    <xf numFmtId="0" fontId="10" fillId="0" borderId="45" xfId="911" applyNumberFormat="1" applyFont="1" applyBorder="1" applyAlignment="1"/>
    <xf numFmtId="168" fontId="10" fillId="0" borderId="45" xfId="2903" applyNumberFormat="1" applyFont="1" applyBorder="1" applyAlignment="1"/>
    <xf numFmtId="167" fontId="11" fillId="0" borderId="45" xfId="911" applyNumberFormat="1" applyFont="1" applyBorder="1" applyAlignment="1"/>
    <xf numFmtId="167" fontId="10" fillId="7" borderId="45" xfId="911" applyNumberFormat="1" applyFont="1" applyFill="1" applyBorder="1" applyAlignment="1"/>
    <xf numFmtId="0" fontId="7" fillId="0" borderId="45" xfId="0" applyNumberFormat="1" applyFont="1" applyBorder="1" applyAlignment="1"/>
    <xf numFmtId="44" fontId="10" fillId="0" borderId="0" xfId="0" applyNumberFormat="1" applyFont="1">
      <alignment vertical="top" wrapText="1"/>
    </xf>
    <xf numFmtId="167" fontId="0" fillId="0" borderId="0" xfId="0" applyNumberFormat="1">
      <alignment vertical="top" wrapText="1"/>
    </xf>
    <xf numFmtId="0" fontId="25" fillId="0" borderId="0" xfId="0" applyFont="1">
      <alignment vertical="top" wrapText="1"/>
    </xf>
    <xf numFmtId="167" fontId="26" fillId="0" borderId="0" xfId="0" applyNumberFormat="1" applyFont="1">
      <alignment vertical="top" wrapText="1"/>
    </xf>
    <xf numFmtId="167" fontId="27" fillId="0" borderId="0" xfId="0" applyNumberFormat="1" applyFont="1">
      <alignment vertical="top" wrapText="1"/>
    </xf>
    <xf numFmtId="0" fontId="7" fillId="0" borderId="27" xfId="0" applyFont="1" applyBorder="1" applyAlignment="1">
      <alignment horizontal="center"/>
    </xf>
    <xf numFmtId="0" fontId="7" fillId="0" borderId="28" xfId="0" applyFont="1" applyBorder="1" applyAlignment="1">
      <alignment horizontal="center"/>
    </xf>
    <xf numFmtId="0" fontId="7" fillId="0" borderId="10"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7" fillId="0" borderId="41" xfId="0" applyFont="1" applyBorder="1" applyAlignment="1">
      <alignment horizontal="center"/>
    </xf>
    <xf numFmtId="0" fontId="7" fillId="0" borderId="37" xfId="0" applyFont="1" applyBorder="1" applyAlignment="1">
      <alignment horizontal="center"/>
    </xf>
    <xf numFmtId="0" fontId="7" fillId="0" borderId="0" xfId="0" applyFont="1" applyAlignment="1">
      <alignment horizontal="center"/>
    </xf>
    <xf numFmtId="0" fontId="7" fillId="0" borderId="42" xfId="0" applyFont="1" applyBorder="1" applyAlignment="1">
      <alignment horizontal="center"/>
    </xf>
    <xf numFmtId="0" fontId="7" fillId="0" borderId="26" xfId="0" applyFont="1" applyBorder="1" applyAlignment="1">
      <alignment horizontal="center"/>
    </xf>
    <xf numFmtId="0" fontId="7" fillId="0" borderId="25" xfId="0" applyFont="1" applyBorder="1" applyAlignment="1">
      <alignment horizontal="center"/>
    </xf>
    <xf numFmtId="0" fontId="7" fillId="0" borderId="2" xfId="0" applyFont="1" applyBorder="1" applyAlignment="1">
      <alignment horizontal="center"/>
    </xf>
    <xf numFmtId="0" fontId="28" fillId="3" borderId="10" xfId="0" applyFont="1" applyFill="1" applyBorder="1" applyAlignment="1">
      <alignment horizontal="center"/>
    </xf>
    <xf numFmtId="0" fontId="14" fillId="5" borderId="4" xfId="0" applyNumberFormat="1" applyFont="1" applyFill="1" applyBorder="1" applyAlignment="1">
      <alignment horizontal="center" vertical="top" wrapText="1"/>
    </xf>
    <xf numFmtId="0" fontId="14" fillId="5" borderId="5" xfId="0" applyNumberFormat="1" applyFont="1" applyFill="1" applyBorder="1" applyAlignment="1">
      <alignment horizontal="center" vertical="top" wrapText="1"/>
    </xf>
    <xf numFmtId="0" fontId="14" fillId="5" borderId="6" xfId="0" applyNumberFormat="1" applyFont="1" applyFill="1" applyBorder="1" applyAlignment="1">
      <alignment horizontal="center" vertical="top" wrapText="1"/>
    </xf>
    <xf numFmtId="0" fontId="7" fillId="8" borderId="18" xfId="0" applyNumberFormat="1" applyFont="1" applyFill="1" applyBorder="1" applyAlignment="1">
      <alignment horizontal="center" vertical="top" wrapText="1"/>
    </xf>
    <xf numFmtId="0" fontId="7" fillId="8" borderId="19" xfId="0" applyNumberFormat="1" applyFont="1" applyFill="1" applyBorder="1" applyAlignment="1">
      <alignment horizontal="center" vertical="top" wrapText="1"/>
    </xf>
    <xf numFmtId="0" fontId="7" fillId="8" borderId="20" xfId="0" applyNumberFormat="1" applyFont="1" applyFill="1" applyBorder="1" applyAlignment="1">
      <alignment horizontal="center" vertical="top" wrapText="1"/>
    </xf>
    <xf numFmtId="0" fontId="18" fillId="5" borderId="37" xfId="0" applyNumberFormat="1" applyFont="1" applyFill="1" applyBorder="1" applyAlignment="1">
      <alignment horizontal="center" vertical="top" wrapText="1"/>
    </xf>
    <xf numFmtId="0" fontId="18" fillId="5" borderId="0" xfId="0" applyNumberFormat="1" applyFont="1" applyFill="1" applyBorder="1" applyAlignment="1">
      <alignment horizontal="center" vertical="top" wrapText="1"/>
    </xf>
    <xf numFmtId="0" fontId="18" fillId="8" borderId="37" xfId="0" applyNumberFormat="1" applyFont="1" applyFill="1" applyBorder="1" applyAlignment="1">
      <alignment horizontal="center" vertical="top" wrapText="1"/>
    </xf>
    <xf numFmtId="0" fontId="18" fillId="8" borderId="0" xfId="0" applyNumberFormat="1" applyFont="1" applyFill="1" applyBorder="1" applyAlignment="1">
      <alignment horizontal="center" vertical="top" wrapText="1"/>
    </xf>
    <xf numFmtId="0" fontId="10" fillId="0" borderId="0" xfId="0" applyNumberFormat="1" applyFont="1" applyAlignment="1">
      <alignment horizontal="center" vertical="top" wrapText="1"/>
    </xf>
    <xf numFmtId="0" fontId="10" fillId="0" borderId="0" xfId="0" applyNumberFormat="1" applyFont="1">
      <alignment vertical="top" wrapText="1"/>
    </xf>
    <xf numFmtId="0" fontId="9" fillId="12" borderId="31" xfId="0" applyFont="1" applyFill="1" applyBorder="1" applyAlignment="1">
      <alignment horizontal="center" vertical="top" wrapText="1"/>
    </xf>
    <xf numFmtId="0" fontId="9" fillId="5" borderId="45" xfId="0" applyFont="1" applyFill="1" applyBorder="1" applyAlignment="1">
      <alignment horizontal="center" vertical="top" wrapText="1"/>
    </xf>
    <xf numFmtId="0" fontId="9" fillId="8" borderId="46" xfId="0" applyFont="1" applyFill="1" applyBorder="1" applyAlignment="1">
      <alignment horizontal="center" vertical="top" wrapText="1"/>
    </xf>
    <xf numFmtId="0" fontId="9" fillId="8" borderId="45" xfId="0" applyFont="1" applyFill="1" applyBorder="1" applyAlignment="1">
      <alignment horizontal="center" vertical="top" wrapText="1"/>
    </xf>
    <xf numFmtId="0" fontId="7" fillId="3" borderId="0" xfId="0" applyFont="1" applyFill="1" applyAlignment="1">
      <alignment horizontal="center" vertical="top" wrapText="1"/>
    </xf>
    <xf numFmtId="0" fontId="9" fillId="0" borderId="25" xfId="0" applyFont="1" applyBorder="1">
      <alignment vertical="top" wrapText="1"/>
    </xf>
    <xf numFmtId="0" fontId="9" fillId="0" borderId="25" xfId="0" applyFont="1" applyBorder="1" applyAlignment="1">
      <alignment horizontal="center" vertical="top" wrapText="1"/>
    </xf>
    <xf numFmtId="0" fontId="9" fillId="5" borderId="30" xfId="0" applyFont="1" applyFill="1" applyBorder="1" applyAlignment="1">
      <alignment horizontal="center" vertical="top" wrapText="1"/>
    </xf>
    <xf numFmtId="0" fontId="9" fillId="5" borderId="31" xfId="0" applyFont="1" applyFill="1" applyBorder="1" applyAlignment="1">
      <alignment horizontal="center" vertical="top" wrapText="1"/>
    </xf>
    <xf numFmtId="0" fontId="9" fillId="5" borderId="32" xfId="0" applyFont="1" applyFill="1" applyBorder="1" applyAlignment="1">
      <alignment horizontal="center" vertical="top" wrapText="1"/>
    </xf>
    <xf numFmtId="0" fontId="9" fillId="5" borderId="26" xfId="0" applyFont="1" applyFill="1" applyBorder="1" applyAlignment="1">
      <alignment horizontal="center" vertical="top" wrapText="1"/>
    </xf>
    <xf numFmtId="0" fontId="9" fillId="5" borderId="25" xfId="0" applyFont="1" applyFill="1" applyBorder="1" applyAlignment="1">
      <alignment horizontal="center" vertical="top" wrapText="1"/>
    </xf>
    <xf numFmtId="0" fontId="9" fillId="5" borderId="33" xfId="0" applyFont="1" applyFill="1" applyBorder="1" applyAlignment="1">
      <alignment horizontal="center" vertical="top" wrapText="1"/>
    </xf>
    <xf numFmtId="0" fontId="10" fillId="8" borderId="24" xfId="0" applyFont="1" applyFill="1" applyBorder="1" applyAlignment="1">
      <alignment horizontal="center" vertical="top" wrapText="1"/>
    </xf>
    <xf numFmtId="0" fontId="10" fillId="8" borderId="23" xfId="0" applyFont="1" applyFill="1" applyBorder="1" applyAlignment="1">
      <alignment horizontal="center" vertical="top" wrapText="1"/>
    </xf>
    <xf numFmtId="0" fontId="10" fillId="8" borderId="29" xfId="0" applyFont="1" applyFill="1" applyBorder="1" applyAlignment="1">
      <alignment horizontal="center" vertical="top" wrapText="1"/>
    </xf>
  </cellXfs>
  <cellStyles count="2907">
    <cellStyle name="Comma" xfId="2903" builtinId="3"/>
    <cellStyle name="Comma 2" xfId="2906" xr:uid="{A673E6B4-0D65-4A55-BB4B-2C80ADA5DBF5}"/>
    <cellStyle name="Currency" xfId="911" builtinId="4"/>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Followed Hyperlink" xfId="1283" builtinId="9" hidden="1"/>
    <cellStyle name="Followed Hyperlink" xfId="1285" builtinId="9" hidden="1"/>
    <cellStyle name="Followed Hyperlink" xfId="1287" builtinId="9" hidden="1"/>
    <cellStyle name="Followed Hyperlink" xfId="1289" builtinId="9" hidden="1"/>
    <cellStyle name="Followed Hyperlink" xfId="1291" builtinId="9" hidden="1"/>
    <cellStyle name="Followed Hyperlink" xfId="1293" builtinId="9" hidden="1"/>
    <cellStyle name="Followed Hyperlink" xfId="1295" builtinId="9" hidden="1"/>
    <cellStyle name="Followed Hyperlink" xfId="1297" builtinId="9" hidden="1"/>
    <cellStyle name="Followed Hyperlink" xfId="1299" builtinId="9" hidden="1"/>
    <cellStyle name="Followed Hyperlink" xfId="1301" builtinId="9" hidden="1"/>
    <cellStyle name="Followed Hyperlink" xfId="1303" builtinId="9" hidden="1"/>
    <cellStyle name="Followed Hyperlink" xfId="1305" builtinId="9" hidden="1"/>
    <cellStyle name="Followed Hyperlink" xfId="1307" builtinId="9" hidden="1"/>
    <cellStyle name="Followed Hyperlink" xfId="1309" builtinId="9" hidden="1"/>
    <cellStyle name="Followed Hyperlink" xfId="1311" builtinId="9" hidden="1"/>
    <cellStyle name="Followed Hyperlink" xfId="1313" builtinId="9" hidden="1"/>
    <cellStyle name="Followed Hyperlink" xfId="1315" builtinId="9" hidden="1"/>
    <cellStyle name="Followed Hyperlink" xfId="1317" builtinId="9" hidden="1"/>
    <cellStyle name="Followed Hyperlink" xfId="1319" builtinId="9" hidden="1"/>
    <cellStyle name="Followed Hyperlink" xfId="1321" builtinId="9" hidden="1"/>
    <cellStyle name="Followed Hyperlink" xfId="1323" builtinId="9" hidden="1"/>
    <cellStyle name="Followed Hyperlink" xfId="1325" builtinId="9" hidden="1"/>
    <cellStyle name="Followed Hyperlink" xfId="1327" builtinId="9" hidden="1"/>
    <cellStyle name="Followed Hyperlink" xfId="1329" builtinId="9" hidden="1"/>
    <cellStyle name="Followed Hyperlink" xfId="1331" builtinId="9" hidden="1"/>
    <cellStyle name="Followed Hyperlink" xfId="1333" builtinId="9" hidden="1"/>
    <cellStyle name="Followed Hyperlink" xfId="1335" builtinId="9" hidden="1"/>
    <cellStyle name="Followed Hyperlink" xfId="1337" builtinId="9" hidden="1"/>
    <cellStyle name="Followed Hyperlink" xfId="1339" builtinId="9" hidden="1"/>
    <cellStyle name="Followed Hyperlink" xfId="1341" builtinId="9" hidden="1"/>
    <cellStyle name="Followed Hyperlink" xfId="1343" builtinId="9" hidden="1"/>
    <cellStyle name="Followed Hyperlink" xfId="1345" builtinId="9" hidden="1"/>
    <cellStyle name="Followed Hyperlink" xfId="1347" builtinId="9" hidden="1"/>
    <cellStyle name="Followed Hyperlink" xfId="1349" builtinId="9" hidden="1"/>
    <cellStyle name="Followed Hyperlink" xfId="1351" builtinId="9" hidden="1"/>
    <cellStyle name="Followed Hyperlink" xfId="1353" builtinId="9" hidden="1"/>
    <cellStyle name="Followed Hyperlink" xfId="1355" builtinId="9" hidden="1"/>
    <cellStyle name="Followed Hyperlink" xfId="1357" builtinId="9" hidden="1"/>
    <cellStyle name="Followed Hyperlink" xfId="1359" builtinId="9" hidden="1"/>
    <cellStyle name="Followed Hyperlink" xfId="1361" builtinId="9" hidden="1"/>
    <cellStyle name="Followed Hyperlink" xfId="1363" builtinId="9" hidden="1"/>
    <cellStyle name="Followed Hyperlink" xfId="1365" builtinId="9" hidden="1"/>
    <cellStyle name="Followed Hyperlink" xfId="1367" builtinId="9" hidden="1"/>
    <cellStyle name="Followed Hyperlink" xfId="1369" builtinId="9" hidden="1"/>
    <cellStyle name="Followed Hyperlink" xfId="1371" builtinId="9" hidden="1"/>
    <cellStyle name="Followed Hyperlink" xfId="1373" builtinId="9" hidden="1"/>
    <cellStyle name="Followed Hyperlink" xfId="1375" builtinId="9" hidden="1"/>
    <cellStyle name="Followed Hyperlink" xfId="1377" builtinId="9" hidden="1"/>
    <cellStyle name="Followed Hyperlink" xfId="1379" builtinId="9" hidden="1"/>
    <cellStyle name="Followed Hyperlink" xfId="1381" builtinId="9" hidden="1"/>
    <cellStyle name="Followed Hyperlink" xfId="1383" builtinId="9" hidden="1"/>
    <cellStyle name="Followed Hyperlink" xfId="1385" builtinId="9" hidden="1"/>
    <cellStyle name="Followed Hyperlink" xfId="1387" builtinId="9" hidden="1"/>
    <cellStyle name="Followed Hyperlink" xfId="1389" builtinId="9" hidden="1"/>
    <cellStyle name="Followed Hyperlink" xfId="1391" builtinId="9" hidden="1"/>
    <cellStyle name="Followed Hyperlink" xfId="1393" builtinId="9" hidden="1"/>
    <cellStyle name="Followed Hyperlink" xfId="1395" builtinId="9" hidden="1"/>
    <cellStyle name="Followed Hyperlink" xfId="1397" builtinId="9" hidden="1"/>
    <cellStyle name="Followed Hyperlink" xfId="1399" builtinId="9" hidden="1"/>
    <cellStyle name="Followed Hyperlink" xfId="1401" builtinId="9" hidden="1"/>
    <cellStyle name="Followed Hyperlink" xfId="1403" builtinId="9" hidden="1"/>
    <cellStyle name="Followed Hyperlink" xfId="1405" builtinId="9" hidden="1"/>
    <cellStyle name="Followed Hyperlink" xfId="1407" builtinId="9" hidden="1"/>
    <cellStyle name="Followed Hyperlink" xfId="1409" builtinId="9" hidden="1"/>
    <cellStyle name="Followed Hyperlink" xfId="1411" builtinId="9" hidden="1"/>
    <cellStyle name="Followed Hyperlink" xfId="1413" builtinId="9" hidden="1"/>
    <cellStyle name="Followed Hyperlink" xfId="1415" builtinId="9" hidden="1"/>
    <cellStyle name="Followed Hyperlink" xfId="1417" builtinId="9" hidden="1"/>
    <cellStyle name="Followed Hyperlink" xfId="1419" builtinId="9" hidden="1"/>
    <cellStyle name="Followed Hyperlink" xfId="1421" builtinId="9" hidden="1"/>
    <cellStyle name="Followed Hyperlink" xfId="1423" builtinId="9" hidden="1"/>
    <cellStyle name="Followed Hyperlink" xfId="1425" builtinId="9" hidden="1"/>
    <cellStyle name="Followed Hyperlink" xfId="1427" builtinId="9" hidden="1"/>
    <cellStyle name="Followed Hyperlink" xfId="1429" builtinId="9" hidden="1"/>
    <cellStyle name="Followed Hyperlink" xfId="1431" builtinId="9" hidden="1"/>
    <cellStyle name="Followed Hyperlink" xfId="1433" builtinId="9" hidden="1"/>
    <cellStyle name="Followed Hyperlink" xfId="1435" builtinId="9" hidden="1"/>
    <cellStyle name="Followed Hyperlink" xfId="1437" builtinId="9" hidden="1"/>
    <cellStyle name="Followed Hyperlink" xfId="1439" builtinId="9" hidden="1"/>
    <cellStyle name="Followed Hyperlink" xfId="1441" builtinId="9" hidden="1"/>
    <cellStyle name="Followed Hyperlink" xfId="1443" builtinId="9" hidden="1"/>
    <cellStyle name="Followed Hyperlink" xfId="1445" builtinId="9" hidden="1"/>
    <cellStyle name="Followed Hyperlink" xfId="1447" builtinId="9" hidden="1"/>
    <cellStyle name="Followed Hyperlink" xfId="1449" builtinId="9" hidden="1"/>
    <cellStyle name="Followed Hyperlink" xfId="1451" builtinId="9" hidden="1"/>
    <cellStyle name="Followed Hyperlink" xfId="1453" builtinId="9" hidden="1"/>
    <cellStyle name="Followed Hyperlink" xfId="1455" builtinId="9" hidden="1"/>
    <cellStyle name="Followed Hyperlink" xfId="1457" builtinId="9" hidden="1"/>
    <cellStyle name="Followed Hyperlink" xfId="1459" builtinId="9" hidden="1"/>
    <cellStyle name="Followed Hyperlink" xfId="1461" builtinId="9" hidden="1"/>
    <cellStyle name="Followed Hyperlink" xfId="1463" builtinId="9" hidden="1"/>
    <cellStyle name="Followed Hyperlink" xfId="1465" builtinId="9" hidden="1"/>
    <cellStyle name="Followed Hyperlink" xfId="1467" builtinId="9" hidden="1"/>
    <cellStyle name="Followed Hyperlink" xfId="1469" builtinId="9" hidden="1"/>
    <cellStyle name="Followed Hyperlink" xfId="1471" builtinId="9" hidden="1"/>
    <cellStyle name="Followed Hyperlink" xfId="1473" builtinId="9" hidden="1"/>
    <cellStyle name="Followed Hyperlink" xfId="1475" builtinId="9" hidden="1"/>
    <cellStyle name="Followed Hyperlink" xfId="1477" builtinId="9" hidden="1"/>
    <cellStyle name="Followed Hyperlink" xfId="1479" builtinId="9" hidden="1"/>
    <cellStyle name="Followed Hyperlink" xfId="1481" builtinId="9" hidden="1"/>
    <cellStyle name="Followed Hyperlink" xfId="1483" builtinId="9" hidden="1"/>
    <cellStyle name="Followed Hyperlink" xfId="1485" builtinId="9" hidden="1"/>
    <cellStyle name="Followed Hyperlink" xfId="1487" builtinId="9" hidden="1"/>
    <cellStyle name="Followed Hyperlink" xfId="1489" builtinId="9" hidden="1"/>
    <cellStyle name="Followed Hyperlink" xfId="1491" builtinId="9" hidden="1"/>
    <cellStyle name="Followed Hyperlink" xfId="1493" builtinId="9" hidden="1"/>
    <cellStyle name="Followed Hyperlink" xfId="1495" builtinId="9" hidden="1"/>
    <cellStyle name="Followed Hyperlink" xfId="1497" builtinId="9" hidden="1"/>
    <cellStyle name="Followed Hyperlink" xfId="1499" builtinId="9" hidden="1"/>
    <cellStyle name="Followed Hyperlink" xfId="1501" builtinId="9" hidden="1"/>
    <cellStyle name="Followed Hyperlink" xfId="1503" builtinId="9" hidden="1"/>
    <cellStyle name="Followed Hyperlink" xfId="1505" builtinId="9" hidden="1"/>
    <cellStyle name="Followed Hyperlink" xfId="1507" builtinId="9" hidden="1"/>
    <cellStyle name="Followed Hyperlink" xfId="1509" builtinId="9" hidden="1"/>
    <cellStyle name="Followed Hyperlink" xfId="1511" builtinId="9" hidden="1"/>
    <cellStyle name="Followed Hyperlink" xfId="1513" builtinId="9" hidden="1"/>
    <cellStyle name="Followed Hyperlink" xfId="1515" builtinId="9" hidden="1"/>
    <cellStyle name="Followed Hyperlink" xfId="1517" builtinId="9" hidden="1"/>
    <cellStyle name="Followed Hyperlink" xfId="1519" builtinId="9" hidden="1"/>
    <cellStyle name="Followed Hyperlink" xfId="1521" builtinId="9" hidden="1"/>
    <cellStyle name="Followed Hyperlink" xfId="1523" builtinId="9" hidden="1"/>
    <cellStyle name="Followed Hyperlink" xfId="1525" builtinId="9" hidden="1"/>
    <cellStyle name="Followed Hyperlink" xfId="1527" builtinId="9" hidden="1"/>
    <cellStyle name="Followed Hyperlink" xfId="1529" builtinId="9" hidden="1"/>
    <cellStyle name="Followed Hyperlink" xfId="1531" builtinId="9" hidden="1"/>
    <cellStyle name="Followed Hyperlink" xfId="1533" builtinId="9" hidden="1"/>
    <cellStyle name="Followed Hyperlink" xfId="1535" builtinId="9" hidden="1"/>
    <cellStyle name="Followed Hyperlink" xfId="1537" builtinId="9" hidden="1"/>
    <cellStyle name="Followed Hyperlink" xfId="1539" builtinId="9" hidden="1"/>
    <cellStyle name="Followed Hyperlink" xfId="1541" builtinId="9" hidden="1"/>
    <cellStyle name="Followed Hyperlink" xfId="1543" builtinId="9" hidden="1"/>
    <cellStyle name="Followed Hyperlink" xfId="1545" builtinId="9" hidden="1"/>
    <cellStyle name="Followed Hyperlink" xfId="1547" builtinId="9" hidden="1"/>
    <cellStyle name="Followed Hyperlink" xfId="1549" builtinId="9" hidden="1"/>
    <cellStyle name="Followed Hyperlink" xfId="1551" builtinId="9" hidden="1"/>
    <cellStyle name="Followed Hyperlink" xfId="1553" builtinId="9" hidden="1"/>
    <cellStyle name="Followed Hyperlink" xfId="1555" builtinId="9" hidden="1"/>
    <cellStyle name="Followed Hyperlink" xfId="1557" builtinId="9" hidden="1"/>
    <cellStyle name="Followed Hyperlink" xfId="1559" builtinId="9" hidden="1"/>
    <cellStyle name="Followed Hyperlink" xfId="1561" builtinId="9" hidden="1"/>
    <cellStyle name="Followed Hyperlink" xfId="1563" builtinId="9" hidden="1"/>
    <cellStyle name="Followed Hyperlink" xfId="1565" builtinId="9" hidden="1"/>
    <cellStyle name="Followed Hyperlink" xfId="1567" builtinId="9" hidden="1"/>
    <cellStyle name="Followed Hyperlink" xfId="1569" builtinId="9" hidden="1"/>
    <cellStyle name="Followed Hyperlink" xfId="1571" builtinId="9" hidden="1"/>
    <cellStyle name="Followed Hyperlink" xfId="1573" builtinId="9" hidden="1"/>
    <cellStyle name="Followed Hyperlink" xfId="1575" builtinId="9" hidden="1"/>
    <cellStyle name="Followed Hyperlink" xfId="1577" builtinId="9" hidden="1"/>
    <cellStyle name="Followed Hyperlink" xfId="1579" builtinId="9" hidden="1"/>
    <cellStyle name="Followed Hyperlink" xfId="1581" builtinId="9" hidden="1"/>
    <cellStyle name="Followed Hyperlink" xfId="1583" builtinId="9" hidden="1"/>
    <cellStyle name="Followed Hyperlink" xfId="1585" builtinId="9" hidden="1"/>
    <cellStyle name="Followed Hyperlink" xfId="1587" builtinId="9" hidden="1"/>
    <cellStyle name="Followed Hyperlink" xfId="1589" builtinId="9" hidden="1"/>
    <cellStyle name="Followed Hyperlink" xfId="1591" builtinId="9" hidden="1"/>
    <cellStyle name="Followed Hyperlink" xfId="1593" builtinId="9" hidden="1"/>
    <cellStyle name="Followed Hyperlink" xfId="1595" builtinId="9" hidden="1"/>
    <cellStyle name="Followed Hyperlink" xfId="1597" builtinId="9" hidden="1"/>
    <cellStyle name="Followed Hyperlink" xfId="1599" builtinId="9" hidden="1"/>
    <cellStyle name="Followed Hyperlink" xfId="1601" builtinId="9" hidden="1"/>
    <cellStyle name="Followed Hyperlink" xfId="1603" builtinId="9" hidden="1"/>
    <cellStyle name="Followed Hyperlink" xfId="1605" builtinId="9" hidden="1"/>
    <cellStyle name="Followed Hyperlink" xfId="1607" builtinId="9" hidden="1"/>
    <cellStyle name="Followed Hyperlink" xfId="1609" builtinId="9" hidden="1"/>
    <cellStyle name="Followed Hyperlink" xfId="1611" builtinId="9" hidden="1"/>
    <cellStyle name="Followed Hyperlink" xfId="1613" builtinId="9" hidden="1"/>
    <cellStyle name="Followed Hyperlink" xfId="1615" builtinId="9" hidden="1"/>
    <cellStyle name="Followed Hyperlink" xfId="1617" builtinId="9" hidden="1"/>
    <cellStyle name="Followed Hyperlink" xfId="1619" builtinId="9" hidden="1"/>
    <cellStyle name="Followed Hyperlink" xfId="1621" builtinId="9" hidden="1"/>
    <cellStyle name="Followed Hyperlink" xfId="1623" builtinId="9" hidden="1"/>
    <cellStyle name="Followed Hyperlink" xfId="1625" builtinId="9" hidden="1"/>
    <cellStyle name="Followed Hyperlink" xfId="1627" builtinId="9" hidden="1"/>
    <cellStyle name="Followed Hyperlink" xfId="1629" builtinId="9" hidden="1"/>
    <cellStyle name="Followed Hyperlink" xfId="1631" builtinId="9" hidden="1"/>
    <cellStyle name="Followed Hyperlink" xfId="1633" builtinId="9" hidden="1"/>
    <cellStyle name="Followed Hyperlink" xfId="1635" builtinId="9" hidden="1"/>
    <cellStyle name="Followed Hyperlink" xfId="1637" builtinId="9" hidden="1"/>
    <cellStyle name="Followed Hyperlink" xfId="1639" builtinId="9" hidden="1"/>
    <cellStyle name="Followed Hyperlink" xfId="1641" builtinId="9" hidden="1"/>
    <cellStyle name="Followed Hyperlink" xfId="1643" builtinId="9" hidden="1"/>
    <cellStyle name="Followed Hyperlink" xfId="1645" builtinId="9" hidden="1"/>
    <cellStyle name="Followed Hyperlink" xfId="1647" builtinId="9" hidden="1"/>
    <cellStyle name="Followed Hyperlink" xfId="1649" builtinId="9" hidden="1"/>
    <cellStyle name="Followed Hyperlink" xfId="1651" builtinId="9" hidden="1"/>
    <cellStyle name="Followed Hyperlink" xfId="1653" builtinId="9" hidden="1"/>
    <cellStyle name="Followed Hyperlink" xfId="1655" builtinId="9" hidden="1"/>
    <cellStyle name="Followed Hyperlink" xfId="1657" builtinId="9" hidden="1"/>
    <cellStyle name="Followed Hyperlink" xfId="1659" builtinId="9" hidden="1"/>
    <cellStyle name="Followed Hyperlink" xfId="1661" builtinId="9" hidden="1"/>
    <cellStyle name="Followed Hyperlink" xfId="1663" builtinId="9" hidden="1"/>
    <cellStyle name="Followed Hyperlink" xfId="1665" builtinId="9" hidden="1"/>
    <cellStyle name="Followed Hyperlink" xfId="1667" builtinId="9" hidden="1"/>
    <cellStyle name="Followed Hyperlink" xfId="1669" builtinId="9" hidden="1"/>
    <cellStyle name="Followed Hyperlink" xfId="1671" builtinId="9" hidden="1"/>
    <cellStyle name="Followed Hyperlink" xfId="1673" builtinId="9" hidden="1"/>
    <cellStyle name="Followed Hyperlink" xfId="1675" builtinId="9" hidden="1"/>
    <cellStyle name="Followed Hyperlink" xfId="1677" builtinId="9" hidden="1"/>
    <cellStyle name="Followed Hyperlink" xfId="1679" builtinId="9" hidden="1"/>
    <cellStyle name="Followed Hyperlink" xfId="1681" builtinId="9" hidden="1"/>
    <cellStyle name="Followed Hyperlink" xfId="1683" builtinId="9" hidden="1"/>
    <cellStyle name="Followed Hyperlink" xfId="1685" builtinId="9" hidden="1"/>
    <cellStyle name="Followed Hyperlink" xfId="1687" builtinId="9" hidden="1"/>
    <cellStyle name="Followed Hyperlink" xfId="1689" builtinId="9" hidden="1"/>
    <cellStyle name="Followed Hyperlink" xfId="1691" builtinId="9" hidden="1"/>
    <cellStyle name="Followed Hyperlink" xfId="1693" builtinId="9" hidden="1"/>
    <cellStyle name="Followed Hyperlink" xfId="1695" builtinId="9" hidden="1"/>
    <cellStyle name="Followed Hyperlink" xfId="1697" builtinId="9" hidden="1"/>
    <cellStyle name="Followed Hyperlink" xfId="1699" builtinId="9" hidden="1"/>
    <cellStyle name="Followed Hyperlink" xfId="1701" builtinId="9" hidden="1"/>
    <cellStyle name="Followed Hyperlink" xfId="1703" builtinId="9" hidden="1"/>
    <cellStyle name="Followed Hyperlink" xfId="1705" builtinId="9" hidden="1"/>
    <cellStyle name="Followed Hyperlink" xfId="1707" builtinId="9" hidden="1"/>
    <cellStyle name="Followed Hyperlink" xfId="1709" builtinId="9" hidden="1"/>
    <cellStyle name="Followed Hyperlink" xfId="1711" builtinId="9" hidden="1"/>
    <cellStyle name="Followed Hyperlink" xfId="1713" builtinId="9" hidden="1"/>
    <cellStyle name="Followed Hyperlink" xfId="1715" builtinId="9" hidden="1"/>
    <cellStyle name="Followed Hyperlink" xfId="1717" builtinId="9" hidden="1"/>
    <cellStyle name="Followed Hyperlink" xfId="1719" builtinId="9" hidden="1"/>
    <cellStyle name="Followed Hyperlink" xfId="1721" builtinId="9" hidden="1"/>
    <cellStyle name="Followed Hyperlink" xfId="1723" builtinId="9" hidden="1"/>
    <cellStyle name="Followed Hyperlink" xfId="1725" builtinId="9" hidden="1"/>
    <cellStyle name="Followed Hyperlink" xfId="1727" builtinId="9" hidden="1"/>
    <cellStyle name="Followed Hyperlink" xfId="1729" builtinId="9" hidden="1"/>
    <cellStyle name="Followed Hyperlink" xfId="1731" builtinId="9" hidden="1"/>
    <cellStyle name="Followed Hyperlink" xfId="1733" builtinId="9" hidden="1"/>
    <cellStyle name="Followed Hyperlink" xfId="1735" builtinId="9" hidden="1"/>
    <cellStyle name="Followed Hyperlink" xfId="1737" builtinId="9" hidden="1"/>
    <cellStyle name="Followed Hyperlink" xfId="1739" builtinId="9" hidden="1"/>
    <cellStyle name="Followed Hyperlink" xfId="1741" builtinId="9" hidden="1"/>
    <cellStyle name="Followed Hyperlink" xfId="1743" builtinId="9" hidden="1"/>
    <cellStyle name="Followed Hyperlink" xfId="1745" builtinId="9" hidden="1"/>
    <cellStyle name="Followed Hyperlink" xfId="1747" builtinId="9" hidden="1"/>
    <cellStyle name="Followed Hyperlink" xfId="1749" builtinId="9" hidden="1"/>
    <cellStyle name="Followed Hyperlink" xfId="1751" builtinId="9" hidden="1"/>
    <cellStyle name="Followed Hyperlink" xfId="1753" builtinId="9" hidden="1"/>
    <cellStyle name="Followed Hyperlink" xfId="1755" builtinId="9" hidden="1"/>
    <cellStyle name="Followed Hyperlink" xfId="1757" builtinId="9" hidden="1"/>
    <cellStyle name="Followed Hyperlink" xfId="1759" builtinId="9" hidden="1"/>
    <cellStyle name="Followed Hyperlink" xfId="1761" builtinId="9" hidden="1"/>
    <cellStyle name="Followed Hyperlink" xfId="1763" builtinId="9" hidden="1"/>
    <cellStyle name="Followed Hyperlink" xfId="1765" builtinId="9" hidden="1"/>
    <cellStyle name="Followed Hyperlink" xfId="1767" builtinId="9" hidden="1"/>
    <cellStyle name="Followed Hyperlink" xfId="1769" builtinId="9" hidden="1"/>
    <cellStyle name="Followed Hyperlink" xfId="1771" builtinId="9" hidden="1"/>
    <cellStyle name="Followed Hyperlink" xfId="1773" builtinId="9" hidden="1"/>
    <cellStyle name="Followed Hyperlink" xfId="1775" builtinId="9" hidden="1"/>
    <cellStyle name="Followed Hyperlink" xfId="1777" builtinId="9" hidden="1"/>
    <cellStyle name="Followed Hyperlink" xfId="1779" builtinId="9" hidden="1"/>
    <cellStyle name="Followed Hyperlink" xfId="1781" builtinId="9" hidden="1"/>
    <cellStyle name="Followed Hyperlink" xfId="1783" builtinId="9" hidden="1"/>
    <cellStyle name="Followed Hyperlink" xfId="1785" builtinId="9" hidden="1"/>
    <cellStyle name="Followed Hyperlink" xfId="1787" builtinId="9" hidden="1"/>
    <cellStyle name="Followed Hyperlink" xfId="1789" builtinId="9" hidden="1"/>
    <cellStyle name="Followed Hyperlink" xfId="1791" builtinId="9" hidden="1"/>
    <cellStyle name="Followed Hyperlink" xfId="1793" builtinId="9" hidden="1"/>
    <cellStyle name="Followed Hyperlink" xfId="1795" builtinId="9" hidden="1"/>
    <cellStyle name="Followed Hyperlink" xfId="1797" builtinId="9" hidden="1"/>
    <cellStyle name="Followed Hyperlink" xfId="1799" builtinId="9" hidden="1"/>
    <cellStyle name="Followed Hyperlink" xfId="1801" builtinId="9" hidden="1"/>
    <cellStyle name="Followed Hyperlink" xfId="1803" builtinId="9" hidden="1"/>
    <cellStyle name="Followed Hyperlink" xfId="1805" builtinId="9" hidden="1"/>
    <cellStyle name="Followed Hyperlink" xfId="1807" builtinId="9" hidden="1"/>
    <cellStyle name="Followed Hyperlink" xfId="1809" builtinId="9" hidden="1"/>
    <cellStyle name="Followed Hyperlink" xfId="1811" builtinId="9" hidden="1"/>
    <cellStyle name="Followed Hyperlink" xfId="1813" builtinId="9" hidden="1"/>
    <cellStyle name="Followed Hyperlink" xfId="1815" builtinId="9" hidden="1"/>
    <cellStyle name="Followed Hyperlink" xfId="1817" builtinId="9" hidden="1"/>
    <cellStyle name="Followed Hyperlink" xfId="1819" builtinId="9" hidden="1"/>
    <cellStyle name="Followed Hyperlink" xfId="1821" builtinId="9" hidden="1"/>
    <cellStyle name="Followed Hyperlink" xfId="1823" builtinId="9" hidden="1"/>
    <cellStyle name="Followed Hyperlink" xfId="1825" builtinId="9" hidden="1"/>
    <cellStyle name="Followed Hyperlink" xfId="1827" builtinId="9" hidden="1"/>
    <cellStyle name="Followed Hyperlink" xfId="1829" builtinId="9" hidden="1"/>
    <cellStyle name="Followed Hyperlink" xfId="1831" builtinId="9" hidden="1"/>
    <cellStyle name="Followed Hyperlink" xfId="1833" builtinId="9" hidden="1"/>
    <cellStyle name="Followed Hyperlink" xfId="1835" builtinId="9" hidden="1"/>
    <cellStyle name="Followed Hyperlink" xfId="1837" builtinId="9" hidden="1"/>
    <cellStyle name="Followed Hyperlink" xfId="1839" builtinId="9" hidden="1"/>
    <cellStyle name="Followed Hyperlink" xfId="1841" builtinId="9" hidden="1"/>
    <cellStyle name="Followed Hyperlink" xfId="1843" builtinId="9" hidden="1"/>
    <cellStyle name="Followed Hyperlink" xfId="1845" builtinId="9" hidden="1"/>
    <cellStyle name="Followed Hyperlink" xfId="1847" builtinId="9" hidden="1"/>
    <cellStyle name="Followed Hyperlink" xfId="1849" builtinId="9" hidden="1"/>
    <cellStyle name="Followed Hyperlink" xfId="1851" builtinId="9" hidden="1"/>
    <cellStyle name="Followed Hyperlink" xfId="1853" builtinId="9" hidden="1"/>
    <cellStyle name="Followed Hyperlink" xfId="1855" builtinId="9" hidden="1"/>
    <cellStyle name="Followed Hyperlink" xfId="1857" builtinId="9" hidden="1"/>
    <cellStyle name="Followed Hyperlink" xfId="1859" builtinId="9" hidden="1"/>
    <cellStyle name="Followed Hyperlink" xfId="1861" builtinId="9" hidden="1"/>
    <cellStyle name="Followed Hyperlink" xfId="1863" builtinId="9" hidden="1"/>
    <cellStyle name="Followed Hyperlink" xfId="1865" builtinId="9" hidden="1"/>
    <cellStyle name="Followed Hyperlink" xfId="1867" builtinId="9" hidden="1"/>
    <cellStyle name="Followed Hyperlink" xfId="1869" builtinId="9" hidden="1"/>
    <cellStyle name="Followed Hyperlink" xfId="1871" builtinId="9" hidden="1"/>
    <cellStyle name="Followed Hyperlink" xfId="1873" builtinId="9" hidden="1"/>
    <cellStyle name="Followed Hyperlink" xfId="1875" builtinId="9" hidden="1"/>
    <cellStyle name="Followed Hyperlink" xfId="1877" builtinId="9" hidden="1"/>
    <cellStyle name="Followed Hyperlink" xfId="1879" builtinId="9" hidden="1"/>
    <cellStyle name="Followed Hyperlink" xfId="1881" builtinId="9" hidden="1"/>
    <cellStyle name="Followed Hyperlink" xfId="1883" builtinId="9" hidden="1"/>
    <cellStyle name="Followed Hyperlink" xfId="1885" builtinId="9" hidden="1"/>
    <cellStyle name="Followed Hyperlink" xfId="1887" builtinId="9" hidden="1"/>
    <cellStyle name="Followed Hyperlink" xfId="1889" builtinId="9" hidden="1"/>
    <cellStyle name="Followed Hyperlink" xfId="1891" builtinId="9" hidden="1"/>
    <cellStyle name="Followed Hyperlink" xfId="1893" builtinId="9" hidden="1"/>
    <cellStyle name="Followed Hyperlink" xfId="1895" builtinId="9" hidden="1"/>
    <cellStyle name="Followed Hyperlink" xfId="1897" builtinId="9" hidden="1"/>
    <cellStyle name="Followed Hyperlink" xfId="1899" builtinId="9" hidden="1"/>
    <cellStyle name="Followed Hyperlink" xfId="1901" builtinId="9" hidden="1"/>
    <cellStyle name="Followed Hyperlink" xfId="1903" builtinId="9" hidden="1"/>
    <cellStyle name="Followed Hyperlink" xfId="1905" builtinId="9" hidden="1"/>
    <cellStyle name="Followed Hyperlink" xfId="1907" builtinId="9" hidden="1"/>
    <cellStyle name="Followed Hyperlink" xfId="1909" builtinId="9" hidden="1"/>
    <cellStyle name="Followed Hyperlink" xfId="1911" builtinId="9" hidden="1"/>
    <cellStyle name="Followed Hyperlink" xfId="1913" builtinId="9" hidden="1"/>
    <cellStyle name="Followed Hyperlink" xfId="1915" builtinId="9" hidden="1"/>
    <cellStyle name="Followed Hyperlink" xfId="1917" builtinId="9" hidden="1"/>
    <cellStyle name="Followed Hyperlink" xfId="1919" builtinId="9" hidden="1"/>
    <cellStyle name="Followed Hyperlink" xfId="1921" builtinId="9" hidden="1"/>
    <cellStyle name="Followed Hyperlink" xfId="1923" builtinId="9" hidden="1"/>
    <cellStyle name="Followed Hyperlink" xfId="1925" builtinId="9" hidden="1"/>
    <cellStyle name="Followed Hyperlink" xfId="1927" builtinId="9" hidden="1"/>
    <cellStyle name="Followed Hyperlink" xfId="1929" builtinId="9" hidden="1"/>
    <cellStyle name="Followed Hyperlink" xfId="1931" builtinId="9" hidden="1"/>
    <cellStyle name="Followed Hyperlink" xfId="1933" builtinId="9" hidden="1"/>
    <cellStyle name="Followed Hyperlink" xfId="1935" builtinId="9" hidden="1"/>
    <cellStyle name="Followed Hyperlink" xfId="1937" builtinId="9" hidden="1"/>
    <cellStyle name="Followed Hyperlink" xfId="1939" builtinId="9" hidden="1"/>
    <cellStyle name="Followed Hyperlink" xfId="1941" builtinId="9" hidden="1"/>
    <cellStyle name="Followed Hyperlink" xfId="1943" builtinId="9" hidden="1"/>
    <cellStyle name="Followed Hyperlink" xfId="1945" builtinId="9" hidden="1"/>
    <cellStyle name="Followed Hyperlink" xfId="1947" builtinId="9" hidden="1"/>
    <cellStyle name="Followed Hyperlink" xfId="1949" builtinId="9" hidden="1"/>
    <cellStyle name="Followed Hyperlink" xfId="1951" builtinId="9" hidden="1"/>
    <cellStyle name="Followed Hyperlink" xfId="1953" builtinId="9" hidden="1"/>
    <cellStyle name="Followed Hyperlink" xfId="1955" builtinId="9" hidden="1"/>
    <cellStyle name="Followed Hyperlink" xfId="1957" builtinId="9" hidden="1"/>
    <cellStyle name="Followed Hyperlink" xfId="1959" builtinId="9" hidden="1"/>
    <cellStyle name="Followed Hyperlink" xfId="1961" builtinId="9" hidden="1"/>
    <cellStyle name="Followed Hyperlink" xfId="1963" builtinId="9" hidden="1"/>
    <cellStyle name="Followed Hyperlink" xfId="1965" builtinId="9" hidden="1"/>
    <cellStyle name="Followed Hyperlink" xfId="1967" builtinId="9" hidden="1"/>
    <cellStyle name="Followed Hyperlink" xfId="1969" builtinId="9" hidden="1"/>
    <cellStyle name="Followed Hyperlink" xfId="1971" builtinId="9" hidden="1"/>
    <cellStyle name="Followed Hyperlink" xfId="1973" builtinId="9" hidden="1"/>
    <cellStyle name="Followed Hyperlink" xfId="1975" builtinId="9" hidden="1"/>
    <cellStyle name="Followed Hyperlink" xfId="1977" builtinId="9" hidden="1"/>
    <cellStyle name="Followed Hyperlink" xfId="1979" builtinId="9" hidden="1"/>
    <cellStyle name="Followed Hyperlink" xfId="1981" builtinId="9" hidden="1"/>
    <cellStyle name="Followed Hyperlink" xfId="1983" builtinId="9" hidden="1"/>
    <cellStyle name="Followed Hyperlink" xfId="1985" builtinId="9" hidden="1"/>
    <cellStyle name="Followed Hyperlink" xfId="1987" builtinId="9" hidden="1"/>
    <cellStyle name="Followed Hyperlink" xfId="1989" builtinId="9" hidden="1"/>
    <cellStyle name="Followed Hyperlink" xfId="1991" builtinId="9" hidden="1"/>
    <cellStyle name="Followed Hyperlink" xfId="1993" builtinId="9" hidden="1"/>
    <cellStyle name="Followed Hyperlink" xfId="1995" builtinId="9" hidden="1"/>
    <cellStyle name="Followed Hyperlink" xfId="1997" builtinId="9" hidden="1"/>
    <cellStyle name="Followed Hyperlink" xfId="1999" builtinId="9" hidden="1"/>
    <cellStyle name="Followed Hyperlink" xfId="2001" builtinId="9" hidden="1"/>
    <cellStyle name="Followed Hyperlink" xfId="2003" builtinId="9" hidden="1"/>
    <cellStyle name="Followed Hyperlink" xfId="2005" builtinId="9" hidden="1"/>
    <cellStyle name="Followed Hyperlink" xfId="2007" builtinId="9" hidden="1"/>
    <cellStyle name="Followed Hyperlink" xfId="2009" builtinId="9" hidden="1"/>
    <cellStyle name="Followed Hyperlink" xfId="2011" builtinId="9" hidden="1"/>
    <cellStyle name="Followed Hyperlink" xfId="2013" builtinId="9" hidden="1"/>
    <cellStyle name="Followed Hyperlink" xfId="2015" builtinId="9" hidden="1"/>
    <cellStyle name="Followed Hyperlink" xfId="2017" builtinId="9" hidden="1"/>
    <cellStyle name="Followed Hyperlink" xfId="2019" builtinId="9" hidden="1"/>
    <cellStyle name="Followed Hyperlink" xfId="2021" builtinId="9" hidden="1"/>
    <cellStyle name="Followed Hyperlink" xfId="2023" builtinId="9" hidden="1"/>
    <cellStyle name="Followed Hyperlink" xfId="2025" builtinId="9" hidden="1"/>
    <cellStyle name="Followed Hyperlink" xfId="2027" builtinId="9" hidden="1"/>
    <cellStyle name="Followed Hyperlink" xfId="2029" builtinId="9" hidden="1"/>
    <cellStyle name="Followed Hyperlink" xfId="2031" builtinId="9" hidden="1"/>
    <cellStyle name="Followed Hyperlink" xfId="2033" builtinId="9" hidden="1"/>
    <cellStyle name="Followed Hyperlink" xfId="2035" builtinId="9" hidden="1"/>
    <cellStyle name="Followed Hyperlink" xfId="2037" builtinId="9" hidden="1"/>
    <cellStyle name="Followed Hyperlink" xfId="2039" builtinId="9" hidden="1"/>
    <cellStyle name="Followed Hyperlink" xfId="2041" builtinId="9" hidden="1"/>
    <cellStyle name="Followed Hyperlink" xfId="2043" builtinId="9" hidden="1"/>
    <cellStyle name="Followed Hyperlink" xfId="2045" builtinId="9" hidden="1"/>
    <cellStyle name="Followed Hyperlink" xfId="2047" builtinId="9" hidden="1"/>
    <cellStyle name="Followed Hyperlink" xfId="2049" builtinId="9" hidden="1"/>
    <cellStyle name="Followed Hyperlink" xfId="2051" builtinId="9" hidden="1"/>
    <cellStyle name="Followed Hyperlink" xfId="2053" builtinId="9" hidden="1"/>
    <cellStyle name="Followed Hyperlink" xfId="2055" builtinId="9" hidden="1"/>
    <cellStyle name="Followed Hyperlink" xfId="2057" builtinId="9" hidden="1"/>
    <cellStyle name="Followed Hyperlink" xfId="2059" builtinId="9" hidden="1"/>
    <cellStyle name="Followed Hyperlink" xfId="2061" builtinId="9" hidden="1"/>
    <cellStyle name="Followed Hyperlink" xfId="2063" builtinId="9" hidden="1"/>
    <cellStyle name="Followed Hyperlink" xfId="2065" builtinId="9" hidden="1"/>
    <cellStyle name="Followed Hyperlink" xfId="2067" builtinId="9" hidden="1"/>
    <cellStyle name="Followed Hyperlink" xfId="2069" builtinId="9" hidden="1"/>
    <cellStyle name="Followed Hyperlink" xfId="2071" builtinId="9" hidden="1"/>
    <cellStyle name="Followed Hyperlink" xfId="2073" builtinId="9" hidden="1"/>
    <cellStyle name="Followed Hyperlink" xfId="2075" builtinId="9" hidden="1"/>
    <cellStyle name="Followed Hyperlink" xfId="2077" builtinId="9" hidden="1"/>
    <cellStyle name="Followed Hyperlink" xfId="2079" builtinId="9" hidden="1"/>
    <cellStyle name="Followed Hyperlink" xfId="2081" builtinId="9" hidden="1"/>
    <cellStyle name="Followed Hyperlink" xfId="2083" builtinId="9" hidden="1"/>
    <cellStyle name="Followed Hyperlink" xfId="2085" builtinId="9" hidden="1"/>
    <cellStyle name="Followed Hyperlink" xfId="2087" builtinId="9" hidden="1"/>
    <cellStyle name="Followed Hyperlink" xfId="2089" builtinId="9" hidden="1"/>
    <cellStyle name="Followed Hyperlink" xfId="2091" builtinId="9" hidden="1"/>
    <cellStyle name="Followed Hyperlink" xfId="2093" builtinId="9" hidden="1"/>
    <cellStyle name="Followed Hyperlink" xfId="2095" builtinId="9" hidden="1"/>
    <cellStyle name="Followed Hyperlink" xfId="2097" builtinId="9" hidden="1"/>
    <cellStyle name="Followed Hyperlink" xfId="2099" builtinId="9" hidden="1"/>
    <cellStyle name="Followed Hyperlink" xfId="2101" builtinId="9" hidden="1"/>
    <cellStyle name="Followed Hyperlink" xfId="2103" builtinId="9" hidden="1"/>
    <cellStyle name="Followed Hyperlink" xfId="2105" builtinId="9" hidden="1"/>
    <cellStyle name="Followed Hyperlink" xfId="2107" builtinId="9" hidden="1"/>
    <cellStyle name="Followed Hyperlink" xfId="2109"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2141"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3" builtinId="9" hidden="1"/>
    <cellStyle name="Followed Hyperlink" xfId="2154" builtinId="9" hidden="1"/>
    <cellStyle name="Followed Hyperlink" xfId="2155" builtinId="9" hidden="1"/>
    <cellStyle name="Followed Hyperlink" xfId="2156" builtinId="9" hidden="1"/>
    <cellStyle name="Followed Hyperlink" xfId="2157" builtinId="9" hidden="1"/>
    <cellStyle name="Followed Hyperlink" xfId="2158"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4" builtinId="9" hidden="1"/>
    <cellStyle name="Followed Hyperlink" xfId="2165" builtinId="9" hidden="1"/>
    <cellStyle name="Followed Hyperlink" xfId="2166" builtinId="9" hidden="1"/>
    <cellStyle name="Followed Hyperlink" xfId="2167" builtinId="9" hidden="1"/>
    <cellStyle name="Followed Hyperlink" xfId="2168" builtinId="9" hidden="1"/>
    <cellStyle name="Followed Hyperlink" xfId="2169" builtinId="9" hidden="1"/>
    <cellStyle name="Followed Hyperlink" xfId="2170" builtinId="9" hidden="1"/>
    <cellStyle name="Followed Hyperlink" xfId="2171" builtinId="9" hidden="1"/>
    <cellStyle name="Followed Hyperlink" xfId="2172" builtinId="9" hidden="1"/>
    <cellStyle name="Followed Hyperlink" xfId="2173" builtinId="9" hidden="1"/>
    <cellStyle name="Followed Hyperlink" xfId="2174" builtinId="9" hidden="1"/>
    <cellStyle name="Followed Hyperlink" xfId="2175" builtinId="9" hidden="1"/>
    <cellStyle name="Followed Hyperlink" xfId="2176" builtinId="9" hidden="1"/>
    <cellStyle name="Followed Hyperlink" xfId="2177" builtinId="9" hidden="1"/>
    <cellStyle name="Followed Hyperlink" xfId="2178" builtinId="9" hidden="1"/>
    <cellStyle name="Followed Hyperlink" xfId="2179" builtinId="9" hidden="1"/>
    <cellStyle name="Followed Hyperlink" xfId="2180" builtinId="9" hidden="1"/>
    <cellStyle name="Followed Hyperlink" xfId="2181" builtinId="9" hidden="1"/>
    <cellStyle name="Followed Hyperlink" xfId="2182" builtinId="9" hidden="1"/>
    <cellStyle name="Followed Hyperlink" xfId="2183" builtinId="9" hidden="1"/>
    <cellStyle name="Followed Hyperlink" xfId="2184" builtinId="9" hidden="1"/>
    <cellStyle name="Followed Hyperlink" xfId="2185" builtinId="9" hidden="1"/>
    <cellStyle name="Followed Hyperlink" xfId="2186" builtinId="9" hidden="1"/>
    <cellStyle name="Followed Hyperlink" xfId="2187" builtinId="9" hidden="1"/>
    <cellStyle name="Followed Hyperlink" xfId="2188" builtinId="9" hidden="1"/>
    <cellStyle name="Followed Hyperlink" xfId="2189" builtinId="9" hidden="1"/>
    <cellStyle name="Followed Hyperlink" xfId="2190" builtinId="9" hidden="1"/>
    <cellStyle name="Followed Hyperlink" xfId="2191" builtinId="9" hidden="1"/>
    <cellStyle name="Followed Hyperlink" xfId="2192" builtinId="9" hidden="1"/>
    <cellStyle name="Followed Hyperlink" xfId="2193" builtinId="9" hidden="1"/>
    <cellStyle name="Followed Hyperlink" xfId="2194"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0" builtinId="9" hidden="1"/>
    <cellStyle name="Followed Hyperlink" xfId="2201" builtinId="9" hidden="1"/>
    <cellStyle name="Followed Hyperlink" xfId="2202" builtinId="9" hidden="1"/>
    <cellStyle name="Followed Hyperlink" xfId="2203" builtinId="9" hidden="1"/>
    <cellStyle name="Followed Hyperlink" xfId="2204" builtinId="9" hidden="1"/>
    <cellStyle name="Followed Hyperlink" xfId="2205" builtinId="9" hidden="1"/>
    <cellStyle name="Followed Hyperlink" xfId="2206" builtinId="9" hidden="1"/>
    <cellStyle name="Followed Hyperlink" xfId="2207" builtinId="9" hidden="1"/>
    <cellStyle name="Followed Hyperlink" xfId="2208" builtinId="9" hidden="1"/>
    <cellStyle name="Followed Hyperlink" xfId="2209" builtinId="9" hidden="1"/>
    <cellStyle name="Followed Hyperlink" xfId="2210" builtinId="9" hidden="1"/>
    <cellStyle name="Followed Hyperlink" xfId="2211" builtinId="9" hidden="1"/>
    <cellStyle name="Followed Hyperlink" xfId="2212" builtinId="9" hidden="1"/>
    <cellStyle name="Followed Hyperlink" xfId="2213" builtinId="9" hidden="1"/>
    <cellStyle name="Followed Hyperlink" xfId="2214" builtinId="9" hidden="1"/>
    <cellStyle name="Followed Hyperlink" xfId="2215" builtinId="9" hidden="1"/>
    <cellStyle name="Followed Hyperlink" xfId="2216" builtinId="9" hidden="1"/>
    <cellStyle name="Followed Hyperlink" xfId="2217" builtinId="9" hidden="1"/>
    <cellStyle name="Followed Hyperlink" xfId="2218" builtinId="9" hidden="1"/>
    <cellStyle name="Followed Hyperlink" xfId="2219" builtinId="9" hidden="1"/>
    <cellStyle name="Followed Hyperlink" xfId="2220" builtinId="9" hidden="1"/>
    <cellStyle name="Followed Hyperlink" xfId="2221" builtinId="9" hidden="1"/>
    <cellStyle name="Followed Hyperlink" xfId="2222" builtinId="9" hidden="1"/>
    <cellStyle name="Followed Hyperlink" xfId="2223" builtinId="9" hidden="1"/>
    <cellStyle name="Followed Hyperlink" xfId="2224" builtinId="9" hidden="1"/>
    <cellStyle name="Followed Hyperlink" xfId="2225" builtinId="9" hidden="1"/>
    <cellStyle name="Followed Hyperlink" xfId="2226" builtinId="9" hidden="1"/>
    <cellStyle name="Followed Hyperlink" xfId="2227" builtinId="9" hidden="1"/>
    <cellStyle name="Followed Hyperlink" xfId="2228" builtinId="9" hidden="1"/>
    <cellStyle name="Followed Hyperlink" xfId="2229" builtinId="9" hidden="1"/>
    <cellStyle name="Followed Hyperlink" xfId="2230" builtinId="9" hidden="1"/>
    <cellStyle name="Followed Hyperlink" xfId="2231" builtinId="9" hidden="1"/>
    <cellStyle name="Followed Hyperlink" xfId="2232" builtinId="9" hidden="1"/>
    <cellStyle name="Followed Hyperlink" xfId="2233" builtinId="9" hidden="1"/>
    <cellStyle name="Followed Hyperlink" xfId="2234" builtinId="9" hidden="1"/>
    <cellStyle name="Followed Hyperlink" xfId="2235" builtinId="9" hidden="1"/>
    <cellStyle name="Followed Hyperlink" xfId="2236" builtinId="9" hidden="1"/>
    <cellStyle name="Followed Hyperlink" xfId="2237" builtinId="9" hidden="1"/>
    <cellStyle name="Followed Hyperlink" xfId="2238" builtinId="9" hidden="1"/>
    <cellStyle name="Followed Hyperlink" xfId="2239" builtinId="9" hidden="1"/>
    <cellStyle name="Followed Hyperlink" xfId="2240" builtinId="9" hidden="1"/>
    <cellStyle name="Followed Hyperlink" xfId="2241" builtinId="9" hidden="1"/>
    <cellStyle name="Followed Hyperlink" xfId="2242" builtinId="9" hidden="1"/>
    <cellStyle name="Followed Hyperlink" xfId="2243" builtinId="9" hidden="1"/>
    <cellStyle name="Followed Hyperlink" xfId="2244" builtinId="9" hidden="1"/>
    <cellStyle name="Followed Hyperlink" xfId="2245" builtinId="9" hidden="1"/>
    <cellStyle name="Followed Hyperlink" xfId="2246" builtinId="9" hidden="1"/>
    <cellStyle name="Followed Hyperlink" xfId="2247" builtinId="9" hidden="1"/>
    <cellStyle name="Followed Hyperlink" xfId="2248" builtinId="9" hidden="1"/>
    <cellStyle name="Followed Hyperlink" xfId="2249" builtinId="9" hidden="1"/>
    <cellStyle name="Followed Hyperlink" xfId="2250" builtinId="9" hidden="1"/>
    <cellStyle name="Followed Hyperlink" xfId="2251" builtinId="9" hidden="1"/>
    <cellStyle name="Followed Hyperlink" xfId="2252" builtinId="9" hidden="1"/>
    <cellStyle name="Followed Hyperlink" xfId="2253" builtinId="9" hidden="1"/>
    <cellStyle name="Followed Hyperlink" xfId="2254" builtinId="9" hidden="1"/>
    <cellStyle name="Followed Hyperlink" xfId="2255" builtinId="9" hidden="1"/>
    <cellStyle name="Followed Hyperlink" xfId="2256" builtinId="9" hidden="1"/>
    <cellStyle name="Followed Hyperlink" xfId="2257" builtinId="9" hidden="1"/>
    <cellStyle name="Followed Hyperlink" xfId="2258" builtinId="9" hidden="1"/>
    <cellStyle name="Followed Hyperlink" xfId="2259" builtinId="9" hidden="1"/>
    <cellStyle name="Followed Hyperlink" xfId="2260" builtinId="9" hidden="1"/>
    <cellStyle name="Followed Hyperlink" xfId="2261" builtinId="9" hidden="1"/>
    <cellStyle name="Followed Hyperlink" xfId="2262" builtinId="9" hidden="1"/>
    <cellStyle name="Followed Hyperlink" xfId="2263" builtinId="9" hidden="1"/>
    <cellStyle name="Followed Hyperlink" xfId="2264" builtinId="9" hidden="1"/>
    <cellStyle name="Followed Hyperlink" xfId="2265" builtinId="9" hidden="1"/>
    <cellStyle name="Followed Hyperlink" xfId="2266" builtinId="9" hidden="1"/>
    <cellStyle name="Followed Hyperlink" xfId="2267" builtinId="9" hidden="1"/>
    <cellStyle name="Followed Hyperlink" xfId="2268" builtinId="9" hidden="1"/>
    <cellStyle name="Followed Hyperlink" xfId="2269" builtinId="9" hidden="1"/>
    <cellStyle name="Followed Hyperlink" xfId="2270" builtinId="9" hidden="1"/>
    <cellStyle name="Followed Hyperlink" xfId="2271" builtinId="9" hidden="1"/>
    <cellStyle name="Followed Hyperlink" xfId="2272" builtinId="9" hidden="1"/>
    <cellStyle name="Followed Hyperlink" xfId="2273" builtinId="9" hidden="1"/>
    <cellStyle name="Followed Hyperlink" xfId="2274" builtinId="9" hidden="1"/>
    <cellStyle name="Followed Hyperlink" xfId="2275" builtinId="9" hidden="1"/>
    <cellStyle name="Followed Hyperlink" xfId="2276" builtinId="9" hidden="1"/>
    <cellStyle name="Followed Hyperlink" xfId="2277" builtinId="9" hidden="1"/>
    <cellStyle name="Followed Hyperlink" xfId="2278" builtinId="9" hidden="1"/>
    <cellStyle name="Followed Hyperlink" xfId="2279" builtinId="9" hidden="1"/>
    <cellStyle name="Followed Hyperlink" xfId="2280" builtinId="9" hidden="1"/>
    <cellStyle name="Followed Hyperlink" xfId="2281" builtinId="9" hidden="1"/>
    <cellStyle name="Followed Hyperlink" xfId="2282" builtinId="9" hidden="1"/>
    <cellStyle name="Followed Hyperlink" xfId="2283" builtinId="9" hidden="1"/>
    <cellStyle name="Followed Hyperlink" xfId="2284" builtinId="9" hidden="1"/>
    <cellStyle name="Followed Hyperlink" xfId="2285" builtinId="9" hidden="1"/>
    <cellStyle name="Followed Hyperlink" xfId="2286" builtinId="9" hidden="1"/>
    <cellStyle name="Followed Hyperlink" xfId="2287" builtinId="9" hidden="1"/>
    <cellStyle name="Followed Hyperlink" xfId="2288" builtinId="9" hidden="1"/>
    <cellStyle name="Followed Hyperlink" xfId="2289" builtinId="9" hidden="1"/>
    <cellStyle name="Followed Hyperlink" xfId="2290" builtinId="9" hidden="1"/>
    <cellStyle name="Followed Hyperlink" xfId="2291" builtinId="9" hidden="1"/>
    <cellStyle name="Followed Hyperlink" xfId="2292" builtinId="9" hidden="1"/>
    <cellStyle name="Followed Hyperlink" xfId="2293" builtinId="9" hidden="1"/>
    <cellStyle name="Followed Hyperlink" xfId="2294" builtinId="9" hidden="1"/>
    <cellStyle name="Followed Hyperlink" xfId="2295" builtinId="9" hidden="1"/>
    <cellStyle name="Followed Hyperlink" xfId="2296" builtinId="9" hidden="1"/>
    <cellStyle name="Followed Hyperlink" xfId="2297" builtinId="9" hidden="1"/>
    <cellStyle name="Followed Hyperlink" xfId="2298" builtinId="9" hidden="1"/>
    <cellStyle name="Followed Hyperlink" xfId="2299" builtinId="9" hidden="1"/>
    <cellStyle name="Followed Hyperlink" xfId="2300" builtinId="9" hidden="1"/>
    <cellStyle name="Followed Hyperlink" xfId="2301" builtinId="9" hidden="1"/>
    <cellStyle name="Followed Hyperlink" xfId="2302" builtinId="9" hidden="1"/>
    <cellStyle name="Followed Hyperlink" xfId="2303" builtinId="9" hidden="1"/>
    <cellStyle name="Followed Hyperlink" xfId="2304" builtinId="9" hidden="1"/>
    <cellStyle name="Followed Hyperlink" xfId="2305" builtinId="9" hidden="1"/>
    <cellStyle name="Followed Hyperlink" xfId="2306" builtinId="9" hidden="1"/>
    <cellStyle name="Followed Hyperlink" xfId="2307" builtinId="9" hidden="1"/>
    <cellStyle name="Followed Hyperlink" xfId="2308" builtinId="9" hidden="1"/>
    <cellStyle name="Followed Hyperlink" xfId="2309" builtinId="9" hidden="1"/>
    <cellStyle name="Followed Hyperlink" xfId="2310" builtinId="9" hidden="1"/>
    <cellStyle name="Followed Hyperlink" xfId="2311" builtinId="9" hidden="1"/>
    <cellStyle name="Followed Hyperlink" xfId="2312" builtinId="9" hidden="1"/>
    <cellStyle name="Followed Hyperlink" xfId="2313" builtinId="9" hidden="1"/>
    <cellStyle name="Followed Hyperlink" xfId="2314" builtinId="9" hidden="1"/>
    <cellStyle name="Followed Hyperlink" xfId="2315" builtinId="9" hidden="1"/>
    <cellStyle name="Followed Hyperlink" xfId="2316" builtinId="9" hidden="1"/>
    <cellStyle name="Followed Hyperlink" xfId="2317" builtinId="9" hidden="1"/>
    <cellStyle name="Followed Hyperlink" xfId="2318" builtinId="9" hidden="1"/>
    <cellStyle name="Followed Hyperlink" xfId="2319" builtinId="9" hidden="1"/>
    <cellStyle name="Followed Hyperlink" xfId="2320" builtinId="9" hidden="1"/>
    <cellStyle name="Followed Hyperlink" xfId="2321" builtinId="9" hidden="1"/>
    <cellStyle name="Followed Hyperlink" xfId="2322" builtinId="9" hidden="1"/>
    <cellStyle name="Followed Hyperlink" xfId="2323" builtinId="9" hidden="1"/>
    <cellStyle name="Followed Hyperlink" xfId="2324" builtinId="9" hidden="1"/>
    <cellStyle name="Followed Hyperlink" xfId="2325" builtinId="9" hidden="1"/>
    <cellStyle name="Followed Hyperlink" xfId="2326" builtinId="9" hidden="1"/>
    <cellStyle name="Followed Hyperlink" xfId="2327" builtinId="9" hidden="1"/>
    <cellStyle name="Followed Hyperlink" xfId="2328"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4" builtinId="9" hidden="1"/>
    <cellStyle name="Followed Hyperlink" xfId="2335"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Followed Hyperlink" xfId="2345" builtinId="9" hidden="1"/>
    <cellStyle name="Followed Hyperlink" xfId="2346" builtinId="9" hidden="1"/>
    <cellStyle name="Followed Hyperlink" xfId="2347" builtinId="9" hidden="1"/>
    <cellStyle name="Followed Hyperlink" xfId="2348" builtinId="9" hidden="1"/>
    <cellStyle name="Followed Hyperlink" xfId="2349" builtinId="9" hidden="1"/>
    <cellStyle name="Followed Hyperlink" xfId="2350" builtinId="9" hidden="1"/>
    <cellStyle name="Followed Hyperlink" xfId="2351" builtinId="9" hidden="1"/>
    <cellStyle name="Followed Hyperlink" xfId="2352" builtinId="9" hidden="1"/>
    <cellStyle name="Followed Hyperlink" xfId="2353" builtinId="9" hidden="1"/>
    <cellStyle name="Followed Hyperlink" xfId="2354" builtinId="9" hidden="1"/>
    <cellStyle name="Followed Hyperlink" xfId="2355" builtinId="9" hidden="1"/>
    <cellStyle name="Followed Hyperlink" xfId="2356" builtinId="9" hidden="1"/>
    <cellStyle name="Followed Hyperlink" xfId="2357" builtinId="9" hidden="1"/>
    <cellStyle name="Followed Hyperlink" xfId="2358" builtinId="9" hidden="1"/>
    <cellStyle name="Followed Hyperlink" xfId="2359" builtinId="9" hidden="1"/>
    <cellStyle name="Followed Hyperlink" xfId="2360" builtinId="9" hidden="1"/>
    <cellStyle name="Followed Hyperlink" xfId="2361" builtinId="9" hidden="1"/>
    <cellStyle name="Followed Hyperlink" xfId="2362" builtinId="9" hidden="1"/>
    <cellStyle name="Followed Hyperlink" xfId="2363" builtinId="9" hidden="1"/>
    <cellStyle name="Followed Hyperlink" xfId="2364" builtinId="9" hidden="1"/>
    <cellStyle name="Followed Hyperlink" xfId="2365" builtinId="9" hidden="1"/>
    <cellStyle name="Followed Hyperlink" xfId="2366" builtinId="9" hidden="1"/>
    <cellStyle name="Followed Hyperlink" xfId="2367" builtinId="9" hidden="1"/>
    <cellStyle name="Followed Hyperlink" xfId="2368" builtinId="9" hidden="1"/>
    <cellStyle name="Followed Hyperlink" xfId="2369" builtinId="9" hidden="1"/>
    <cellStyle name="Followed Hyperlink" xfId="2370" builtinId="9" hidden="1"/>
    <cellStyle name="Followed Hyperlink" xfId="2371" builtinId="9" hidden="1"/>
    <cellStyle name="Followed Hyperlink" xfId="2372" builtinId="9" hidden="1"/>
    <cellStyle name="Followed Hyperlink" xfId="2373" builtinId="9" hidden="1"/>
    <cellStyle name="Followed Hyperlink" xfId="2374" builtinId="9" hidden="1"/>
    <cellStyle name="Followed Hyperlink" xfId="2375" builtinId="9" hidden="1"/>
    <cellStyle name="Followed Hyperlink" xfId="2376" builtinId="9" hidden="1"/>
    <cellStyle name="Followed Hyperlink" xfId="2377" builtinId="9" hidden="1"/>
    <cellStyle name="Followed Hyperlink" xfId="2378" builtinId="9" hidden="1"/>
    <cellStyle name="Followed Hyperlink" xfId="2379" builtinId="9" hidden="1"/>
    <cellStyle name="Followed Hyperlink" xfId="2380" builtinId="9" hidden="1"/>
    <cellStyle name="Followed Hyperlink" xfId="2381" builtinId="9" hidden="1"/>
    <cellStyle name="Followed Hyperlink" xfId="2382" builtinId="9" hidden="1"/>
    <cellStyle name="Followed Hyperlink" xfId="2383" builtinId="9" hidden="1"/>
    <cellStyle name="Followed Hyperlink" xfId="2384" builtinId="9" hidden="1"/>
    <cellStyle name="Followed Hyperlink" xfId="2385" builtinId="9" hidden="1"/>
    <cellStyle name="Followed Hyperlink" xfId="2386" builtinId="9" hidden="1"/>
    <cellStyle name="Followed Hyperlink" xfId="2387" builtinId="9" hidden="1"/>
    <cellStyle name="Followed Hyperlink" xfId="2388" builtinId="9" hidden="1"/>
    <cellStyle name="Followed Hyperlink" xfId="2389" builtinId="9" hidden="1"/>
    <cellStyle name="Followed Hyperlink" xfId="2390" builtinId="9" hidden="1"/>
    <cellStyle name="Followed Hyperlink" xfId="2391" builtinId="9" hidden="1"/>
    <cellStyle name="Followed Hyperlink" xfId="2392" builtinId="9" hidden="1"/>
    <cellStyle name="Followed Hyperlink" xfId="2393" builtinId="9" hidden="1"/>
    <cellStyle name="Followed Hyperlink" xfId="2394" builtinId="9" hidden="1"/>
    <cellStyle name="Followed Hyperlink" xfId="2395" builtinId="9" hidden="1"/>
    <cellStyle name="Followed Hyperlink" xfId="2396" builtinId="9" hidden="1"/>
    <cellStyle name="Followed Hyperlink" xfId="2397" builtinId="9" hidden="1"/>
    <cellStyle name="Followed Hyperlink" xfId="2398" builtinId="9" hidden="1"/>
    <cellStyle name="Followed Hyperlink" xfId="2399" builtinId="9" hidden="1"/>
    <cellStyle name="Followed Hyperlink" xfId="2400" builtinId="9" hidden="1"/>
    <cellStyle name="Followed Hyperlink" xfId="2401" builtinId="9" hidden="1"/>
    <cellStyle name="Followed Hyperlink" xfId="2402" builtinId="9" hidden="1"/>
    <cellStyle name="Followed Hyperlink" xfId="2403" builtinId="9" hidden="1"/>
    <cellStyle name="Followed Hyperlink" xfId="2404" builtinId="9" hidden="1"/>
    <cellStyle name="Followed Hyperlink" xfId="2405" builtinId="9" hidden="1"/>
    <cellStyle name="Followed Hyperlink" xfId="2406" builtinId="9" hidden="1"/>
    <cellStyle name="Followed Hyperlink" xfId="2407" builtinId="9" hidden="1"/>
    <cellStyle name="Followed Hyperlink" xfId="2408" builtinId="9" hidden="1"/>
    <cellStyle name="Followed Hyperlink" xfId="2409" builtinId="9" hidden="1"/>
    <cellStyle name="Followed Hyperlink" xfId="2410" builtinId="9" hidden="1"/>
    <cellStyle name="Followed Hyperlink" xfId="2411" builtinId="9" hidden="1"/>
    <cellStyle name="Followed Hyperlink" xfId="2412" builtinId="9" hidden="1"/>
    <cellStyle name="Followed Hyperlink" xfId="2413" builtinId="9" hidden="1"/>
    <cellStyle name="Followed Hyperlink" xfId="2414" builtinId="9" hidden="1"/>
    <cellStyle name="Followed Hyperlink" xfId="2415" builtinId="9" hidden="1"/>
    <cellStyle name="Followed Hyperlink" xfId="2416" builtinId="9" hidden="1"/>
    <cellStyle name="Followed Hyperlink" xfId="2417" builtinId="9" hidden="1"/>
    <cellStyle name="Followed Hyperlink" xfId="2418" builtinId="9" hidden="1"/>
    <cellStyle name="Followed Hyperlink" xfId="2419" builtinId="9" hidden="1"/>
    <cellStyle name="Followed Hyperlink" xfId="2420" builtinId="9" hidden="1"/>
    <cellStyle name="Followed Hyperlink" xfId="2421" builtinId="9" hidden="1"/>
    <cellStyle name="Followed Hyperlink" xfId="2422" builtinId="9" hidden="1"/>
    <cellStyle name="Followed Hyperlink" xfId="2423" builtinId="9" hidden="1"/>
    <cellStyle name="Followed Hyperlink" xfId="2424" builtinId="9" hidden="1"/>
    <cellStyle name="Followed Hyperlink" xfId="2425" builtinId="9" hidden="1"/>
    <cellStyle name="Followed Hyperlink" xfId="2426" builtinId="9" hidden="1"/>
    <cellStyle name="Followed Hyperlink" xfId="2427" builtinId="9" hidden="1"/>
    <cellStyle name="Followed Hyperlink" xfId="2428" builtinId="9" hidden="1"/>
    <cellStyle name="Followed Hyperlink" xfId="2429" builtinId="9" hidden="1"/>
    <cellStyle name="Followed Hyperlink" xfId="2430" builtinId="9" hidden="1"/>
    <cellStyle name="Followed Hyperlink" xfId="2431" builtinId="9" hidden="1"/>
    <cellStyle name="Followed Hyperlink" xfId="2432" builtinId="9" hidden="1"/>
    <cellStyle name="Followed Hyperlink" xfId="2433" builtinId="9" hidden="1"/>
    <cellStyle name="Followed Hyperlink" xfId="2434" builtinId="9" hidden="1"/>
    <cellStyle name="Followed Hyperlink" xfId="2435" builtinId="9" hidden="1"/>
    <cellStyle name="Followed Hyperlink" xfId="2436" builtinId="9" hidden="1"/>
    <cellStyle name="Followed Hyperlink" xfId="2437" builtinId="9" hidden="1"/>
    <cellStyle name="Followed Hyperlink" xfId="2438" builtinId="9" hidden="1"/>
    <cellStyle name="Followed Hyperlink" xfId="2439" builtinId="9" hidden="1"/>
    <cellStyle name="Followed Hyperlink" xfId="2440" builtinId="9" hidden="1"/>
    <cellStyle name="Followed Hyperlink" xfId="2441" builtinId="9" hidden="1"/>
    <cellStyle name="Followed Hyperlink" xfId="2442" builtinId="9" hidden="1"/>
    <cellStyle name="Followed Hyperlink" xfId="2443" builtinId="9" hidden="1"/>
    <cellStyle name="Followed Hyperlink" xfId="2444" builtinId="9" hidden="1"/>
    <cellStyle name="Followed Hyperlink" xfId="2445" builtinId="9" hidden="1"/>
    <cellStyle name="Followed Hyperlink" xfId="2446" builtinId="9" hidden="1"/>
    <cellStyle name="Followed Hyperlink" xfId="2447" builtinId="9" hidden="1"/>
    <cellStyle name="Followed Hyperlink" xfId="2448" builtinId="9" hidden="1"/>
    <cellStyle name="Followed Hyperlink" xfId="2449" builtinId="9" hidden="1"/>
    <cellStyle name="Followed Hyperlink" xfId="2450" builtinId="9" hidden="1"/>
    <cellStyle name="Followed Hyperlink" xfId="2451" builtinId="9" hidden="1"/>
    <cellStyle name="Followed Hyperlink" xfId="2452" builtinId="9" hidden="1"/>
    <cellStyle name="Followed Hyperlink" xfId="2453" builtinId="9" hidden="1"/>
    <cellStyle name="Followed Hyperlink" xfId="2454" builtinId="9" hidden="1"/>
    <cellStyle name="Followed Hyperlink" xfId="2455" builtinId="9" hidden="1"/>
    <cellStyle name="Followed Hyperlink" xfId="2456" builtinId="9" hidden="1"/>
    <cellStyle name="Followed Hyperlink" xfId="2457" builtinId="9" hidden="1"/>
    <cellStyle name="Followed Hyperlink" xfId="2458" builtinId="9" hidden="1"/>
    <cellStyle name="Followed Hyperlink" xfId="2459" builtinId="9" hidden="1"/>
    <cellStyle name="Followed Hyperlink" xfId="2460" builtinId="9" hidden="1"/>
    <cellStyle name="Followed Hyperlink" xfId="2461" builtinId="9" hidden="1"/>
    <cellStyle name="Followed Hyperlink" xfId="2462" builtinId="9" hidden="1"/>
    <cellStyle name="Followed Hyperlink" xfId="2463" builtinId="9" hidden="1"/>
    <cellStyle name="Followed Hyperlink" xfId="2464" builtinId="9" hidden="1"/>
    <cellStyle name="Followed Hyperlink" xfId="2465" builtinId="9" hidden="1"/>
    <cellStyle name="Followed Hyperlink" xfId="2466" builtinId="9" hidden="1"/>
    <cellStyle name="Followed Hyperlink" xfId="2467" builtinId="9" hidden="1"/>
    <cellStyle name="Followed Hyperlink" xfId="2468" builtinId="9" hidden="1"/>
    <cellStyle name="Followed Hyperlink" xfId="2469" builtinId="9" hidden="1"/>
    <cellStyle name="Followed Hyperlink" xfId="2470" builtinId="9" hidden="1"/>
    <cellStyle name="Followed Hyperlink" xfId="2471" builtinId="9" hidden="1"/>
    <cellStyle name="Followed Hyperlink" xfId="2472" builtinId="9" hidden="1"/>
    <cellStyle name="Followed Hyperlink" xfId="2473" builtinId="9" hidden="1"/>
    <cellStyle name="Followed Hyperlink" xfId="2474" builtinId="9" hidden="1"/>
    <cellStyle name="Followed Hyperlink" xfId="2475" builtinId="9" hidden="1"/>
    <cellStyle name="Followed Hyperlink" xfId="2476" builtinId="9" hidden="1"/>
    <cellStyle name="Followed Hyperlink" xfId="2477" builtinId="9" hidden="1"/>
    <cellStyle name="Followed Hyperlink" xfId="2478" builtinId="9" hidden="1"/>
    <cellStyle name="Followed Hyperlink" xfId="2479" builtinId="9" hidden="1"/>
    <cellStyle name="Followed Hyperlink" xfId="2480" builtinId="9" hidden="1"/>
    <cellStyle name="Followed Hyperlink" xfId="2481" builtinId="9" hidden="1"/>
    <cellStyle name="Followed Hyperlink" xfId="2482" builtinId="9" hidden="1"/>
    <cellStyle name="Followed Hyperlink" xfId="2483" builtinId="9" hidden="1"/>
    <cellStyle name="Followed Hyperlink" xfId="2484" builtinId="9" hidden="1"/>
    <cellStyle name="Followed Hyperlink" xfId="2485" builtinId="9" hidden="1"/>
    <cellStyle name="Followed Hyperlink" xfId="2486" builtinId="9" hidden="1"/>
    <cellStyle name="Followed Hyperlink" xfId="2487" builtinId="9" hidden="1"/>
    <cellStyle name="Followed Hyperlink" xfId="2488" builtinId="9" hidden="1"/>
    <cellStyle name="Followed Hyperlink" xfId="2489" builtinId="9" hidden="1"/>
    <cellStyle name="Followed Hyperlink" xfId="2490" builtinId="9" hidden="1"/>
    <cellStyle name="Followed Hyperlink" xfId="2491" builtinId="9" hidden="1"/>
    <cellStyle name="Followed Hyperlink" xfId="2492" builtinId="9" hidden="1"/>
    <cellStyle name="Followed Hyperlink" xfId="2493" builtinId="9" hidden="1"/>
    <cellStyle name="Followed Hyperlink" xfId="2494" builtinId="9" hidden="1"/>
    <cellStyle name="Followed Hyperlink" xfId="2495" builtinId="9" hidden="1"/>
    <cellStyle name="Followed Hyperlink" xfId="2496" builtinId="9" hidden="1"/>
    <cellStyle name="Followed Hyperlink" xfId="2497" builtinId="9" hidden="1"/>
    <cellStyle name="Followed Hyperlink" xfId="2498" builtinId="9" hidden="1"/>
    <cellStyle name="Followed Hyperlink" xfId="2499" builtinId="9" hidden="1"/>
    <cellStyle name="Followed Hyperlink" xfId="2500" builtinId="9" hidden="1"/>
    <cellStyle name="Followed Hyperlink" xfId="2501" builtinId="9" hidden="1"/>
    <cellStyle name="Followed Hyperlink" xfId="2502" builtinId="9" hidden="1"/>
    <cellStyle name="Followed Hyperlink" xfId="2503" builtinId="9" hidden="1"/>
    <cellStyle name="Followed Hyperlink" xfId="2504" builtinId="9" hidden="1"/>
    <cellStyle name="Followed Hyperlink" xfId="2505" builtinId="9" hidden="1"/>
    <cellStyle name="Followed Hyperlink" xfId="2506" builtinId="9" hidden="1"/>
    <cellStyle name="Followed Hyperlink" xfId="2507" builtinId="9" hidden="1"/>
    <cellStyle name="Followed Hyperlink" xfId="2508" builtinId="9" hidden="1"/>
    <cellStyle name="Followed Hyperlink" xfId="2509" builtinId="9" hidden="1"/>
    <cellStyle name="Followed Hyperlink" xfId="2510" builtinId="9" hidden="1"/>
    <cellStyle name="Followed Hyperlink" xfId="2511" builtinId="9" hidden="1"/>
    <cellStyle name="Followed Hyperlink" xfId="2512" builtinId="9" hidden="1"/>
    <cellStyle name="Followed Hyperlink" xfId="2513" builtinId="9" hidden="1"/>
    <cellStyle name="Followed Hyperlink" xfId="2514" builtinId="9" hidden="1"/>
    <cellStyle name="Followed Hyperlink" xfId="2515" builtinId="9" hidden="1"/>
    <cellStyle name="Followed Hyperlink" xfId="2516" builtinId="9" hidden="1"/>
    <cellStyle name="Followed Hyperlink" xfId="2517" builtinId="9" hidden="1"/>
    <cellStyle name="Followed Hyperlink" xfId="2518" builtinId="9" hidden="1"/>
    <cellStyle name="Followed Hyperlink" xfId="2519" builtinId="9" hidden="1"/>
    <cellStyle name="Followed Hyperlink" xfId="2520" builtinId="9" hidden="1"/>
    <cellStyle name="Followed Hyperlink" xfId="2521" builtinId="9" hidden="1"/>
    <cellStyle name="Followed Hyperlink" xfId="2522" builtinId="9" hidden="1"/>
    <cellStyle name="Followed Hyperlink" xfId="2523" builtinId="9" hidden="1"/>
    <cellStyle name="Followed Hyperlink" xfId="2524" builtinId="9" hidden="1"/>
    <cellStyle name="Followed Hyperlink" xfId="2525" builtinId="9" hidden="1"/>
    <cellStyle name="Followed Hyperlink" xfId="2526" builtinId="9" hidden="1"/>
    <cellStyle name="Followed Hyperlink" xfId="2527" builtinId="9" hidden="1"/>
    <cellStyle name="Followed Hyperlink" xfId="2528" builtinId="9" hidden="1"/>
    <cellStyle name="Followed Hyperlink" xfId="2529" builtinId="9" hidden="1"/>
    <cellStyle name="Followed Hyperlink" xfId="2530" builtinId="9" hidden="1"/>
    <cellStyle name="Followed Hyperlink" xfId="2531" builtinId="9" hidden="1"/>
    <cellStyle name="Followed Hyperlink" xfId="2532" builtinId="9" hidden="1"/>
    <cellStyle name="Followed Hyperlink" xfId="2533" builtinId="9" hidden="1"/>
    <cellStyle name="Followed Hyperlink" xfId="2534" builtinId="9" hidden="1"/>
    <cellStyle name="Followed Hyperlink" xfId="2535" builtinId="9" hidden="1"/>
    <cellStyle name="Followed Hyperlink" xfId="2536" builtinId="9" hidden="1"/>
    <cellStyle name="Followed Hyperlink" xfId="2537" builtinId="9" hidden="1"/>
    <cellStyle name="Followed Hyperlink" xfId="2538" builtinId="9" hidden="1"/>
    <cellStyle name="Followed Hyperlink" xfId="2539" builtinId="9" hidden="1"/>
    <cellStyle name="Followed Hyperlink" xfId="2540" builtinId="9" hidden="1"/>
    <cellStyle name="Followed Hyperlink" xfId="2541" builtinId="9" hidden="1"/>
    <cellStyle name="Followed Hyperlink" xfId="2542" builtinId="9" hidden="1"/>
    <cellStyle name="Followed Hyperlink" xfId="2543" builtinId="9" hidden="1"/>
    <cellStyle name="Followed Hyperlink" xfId="2544" builtinId="9" hidden="1"/>
    <cellStyle name="Followed Hyperlink" xfId="2545" builtinId="9" hidden="1"/>
    <cellStyle name="Followed Hyperlink" xfId="2546" builtinId="9" hidden="1"/>
    <cellStyle name="Followed Hyperlink" xfId="2547" builtinId="9" hidden="1"/>
    <cellStyle name="Followed Hyperlink" xfId="2548" builtinId="9" hidden="1"/>
    <cellStyle name="Followed Hyperlink" xfId="2549" builtinId="9" hidden="1"/>
    <cellStyle name="Followed Hyperlink" xfId="2550" builtinId="9" hidden="1"/>
    <cellStyle name="Followed Hyperlink" xfId="2551" builtinId="9" hidden="1"/>
    <cellStyle name="Followed Hyperlink" xfId="2552" builtinId="9" hidden="1"/>
    <cellStyle name="Followed Hyperlink" xfId="2553" builtinId="9" hidden="1"/>
    <cellStyle name="Followed Hyperlink" xfId="2554" builtinId="9" hidden="1"/>
    <cellStyle name="Followed Hyperlink" xfId="2555" builtinId="9" hidden="1"/>
    <cellStyle name="Followed Hyperlink" xfId="2556" builtinId="9" hidden="1"/>
    <cellStyle name="Followed Hyperlink" xfId="2557" builtinId="9" hidden="1"/>
    <cellStyle name="Followed Hyperlink" xfId="2558" builtinId="9" hidden="1"/>
    <cellStyle name="Followed Hyperlink" xfId="2559" builtinId="9" hidden="1"/>
    <cellStyle name="Followed Hyperlink" xfId="2560" builtinId="9" hidden="1"/>
    <cellStyle name="Followed Hyperlink" xfId="2561" builtinId="9" hidden="1"/>
    <cellStyle name="Followed Hyperlink" xfId="2562" builtinId="9" hidden="1"/>
    <cellStyle name="Followed Hyperlink" xfId="2563" builtinId="9" hidden="1"/>
    <cellStyle name="Followed Hyperlink" xfId="2564" builtinId="9" hidden="1"/>
    <cellStyle name="Followed Hyperlink" xfId="2565" builtinId="9" hidden="1"/>
    <cellStyle name="Followed Hyperlink" xfId="2566" builtinId="9" hidden="1"/>
    <cellStyle name="Followed Hyperlink" xfId="2567" builtinId="9" hidden="1"/>
    <cellStyle name="Followed Hyperlink" xfId="2568" builtinId="9" hidden="1"/>
    <cellStyle name="Followed Hyperlink" xfId="2569" builtinId="9" hidden="1"/>
    <cellStyle name="Followed Hyperlink" xfId="2570" builtinId="9" hidden="1"/>
    <cellStyle name="Followed Hyperlink" xfId="2571" builtinId="9" hidden="1"/>
    <cellStyle name="Followed Hyperlink" xfId="2572" builtinId="9" hidden="1"/>
    <cellStyle name="Followed Hyperlink" xfId="2573" builtinId="9" hidden="1"/>
    <cellStyle name="Followed Hyperlink" xfId="2574" builtinId="9" hidden="1"/>
    <cellStyle name="Followed Hyperlink" xfId="2575" builtinId="9" hidden="1"/>
    <cellStyle name="Followed Hyperlink" xfId="2576" builtinId="9" hidden="1"/>
    <cellStyle name="Followed Hyperlink" xfId="2577" builtinId="9" hidden="1"/>
    <cellStyle name="Followed Hyperlink" xfId="2578" builtinId="9" hidden="1"/>
    <cellStyle name="Followed Hyperlink" xfId="2579" builtinId="9" hidden="1"/>
    <cellStyle name="Followed Hyperlink" xfId="2580" builtinId="9" hidden="1"/>
    <cellStyle name="Followed Hyperlink" xfId="2581" builtinId="9" hidden="1"/>
    <cellStyle name="Followed Hyperlink" xfId="2582" builtinId="9" hidden="1"/>
    <cellStyle name="Followed Hyperlink" xfId="2583" builtinId="9" hidden="1"/>
    <cellStyle name="Followed Hyperlink" xfId="2584" builtinId="9" hidden="1"/>
    <cellStyle name="Followed Hyperlink" xfId="2585" builtinId="9" hidden="1"/>
    <cellStyle name="Followed Hyperlink" xfId="2586" builtinId="9" hidden="1"/>
    <cellStyle name="Followed Hyperlink" xfId="2587" builtinId="9" hidden="1"/>
    <cellStyle name="Followed Hyperlink" xfId="2588" builtinId="9" hidden="1"/>
    <cellStyle name="Followed Hyperlink" xfId="2589" builtinId="9" hidden="1"/>
    <cellStyle name="Followed Hyperlink" xfId="2590" builtinId="9" hidden="1"/>
    <cellStyle name="Followed Hyperlink" xfId="2591" builtinId="9" hidden="1"/>
    <cellStyle name="Followed Hyperlink" xfId="2592" builtinId="9" hidden="1"/>
    <cellStyle name="Followed Hyperlink" xfId="2593" builtinId="9" hidden="1"/>
    <cellStyle name="Followed Hyperlink" xfId="2594" builtinId="9" hidden="1"/>
    <cellStyle name="Followed Hyperlink" xfId="2595" builtinId="9" hidden="1"/>
    <cellStyle name="Followed Hyperlink" xfId="2596" builtinId="9" hidden="1"/>
    <cellStyle name="Followed Hyperlink" xfId="2597" builtinId="9" hidden="1"/>
    <cellStyle name="Followed Hyperlink" xfId="2598" builtinId="9" hidden="1"/>
    <cellStyle name="Followed Hyperlink" xfId="2599" builtinId="9" hidden="1"/>
    <cellStyle name="Followed Hyperlink" xfId="2600" builtinId="9" hidden="1"/>
    <cellStyle name="Followed Hyperlink" xfId="2601" builtinId="9" hidden="1"/>
    <cellStyle name="Followed Hyperlink" xfId="2602" builtinId="9" hidden="1"/>
    <cellStyle name="Followed Hyperlink" xfId="2603" builtinId="9" hidden="1"/>
    <cellStyle name="Followed Hyperlink" xfId="2604" builtinId="9" hidden="1"/>
    <cellStyle name="Followed Hyperlink" xfId="2605" builtinId="9" hidden="1"/>
    <cellStyle name="Followed Hyperlink" xfId="2606" builtinId="9" hidden="1"/>
    <cellStyle name="Followed Hyperlink" xfId="2607" builtinId="9" hidden="1"/>
    <cellStyle name="Followed Hyperlink" xfId="2608" builtinId="9" hidden="1"/>
    <cellStyle name="Followed Hyperlink" xfId="2609" builtinId="9" hidden="1"/>
    <cellStyle name="Followed Hyperlink" xfId="2610" builtinId="9" hidden="1"/>
    <cellStyle name="Followed Hyperlink" xfId="2611" builtinId="9" hidden="1"/>
    <cellStyle name="Followed Hyperlink" xfId="2612" builtinId="9" hidden="1"/>
    <cellStyle name="Followed Hyperlink" xfId="2613" builtinId="9" hidden="1"/>
    <cellStyle name="Followed Hyperlink" xfId="2614" builtinId="9" hidden="1"/>
    <cellStyle name="Followed Hyperlink" xfId="2615" builtinId="9" hidden="1"/>
    <cellStyle name="Followed Hyperlink" xfId="2616" builtinId="9" hidden="1"/>
    <cellStyle name="Followed Hyperlink" xfId="2617" builtinId="9" hidden="1"/>
    <cellStyle name="Followed Hyperlink" xfId="2618" builtinId="9" hidden="1"/>
    <cellStyle name="Followed Hyperlink" xfId="2619" builtinId="9" hidden="1"/>
    <cellStyle name="Followed Hyperlink" xfId="2620" builtinId="9" hidden="1"/>
    <cellStyle name="Followed Hyperlink" xfId="2621" builtinId="9" hidden="1"/>
    <cellStyle name="Followed Hyperlink" xfId="2622" builtinId="9" hidden="1"/>
    <cellStyle name="Followed Hyperlink" xfId="2623" builtinId="9" hidden="1"/>
    <cellStyle name="Followed Hyperlink" xfId="2624" builtinId="9" hidden="1"/>
    <cellStyle name="Followed Hyperlink" xfId="2625" builtinId="9" hidden="1"/>
    <cellStyle name="Followed Hyperlink" xfId="2626" builtinId="9" hidden="1"/>
    <cellStyle name="Followed Hyperlink" xfId="2627" builtinId="9" hidden="1"/>
    <cellStyle name="Followed Hyperlink" xfId="2628" builtinId="9" hidden="1"/>
    <cellStyle name="Followed Hyperlink" xfId="2629" builtinId="9" hidden="1"/>
    <cellStyle name="Followed Hyperlink" xfId="2630" builtinId="9" hidden="1"/>
    <cellStyle name="Followed Hyperlink" xfId="2631" builtinId="9" hidden="1"/>
    <cellStyle name="Followed Hyperlink" xfId="2632" builtinId="9" hidden="1"/>
    <cellStyle name="Followed Hyperlink" xfId="2633" builtinId="9" hidden="1"/>
    <cellStyle name="Followed Hyperlink" xfId="2634" builtinId="9" hidden="1"/>
    <cellStyle name="Followed Hyperlink" xfId="2635" builtinId="9" hidden="1"/>
    <cellStyle name="Followed Hyperlink" xfId="2636" builtinId="9" hidden="1"/>
    <cellStyle name="Followed Hyperlink" xfId="2637" builtinId="9" hidden="1"/>
    <cellStyle name="Followed Hyperlink" xfId="2638" builtinId="9" hidden="1"/>
    <cellStyle name="Followed Hyperlink" xfId="2639" builtinId="9" hidden="1"/>
    <cellStyle name="Followed Hyperlink" xfId="2640" builtinId="9" hidden="1"/>
    <cellStyle name="Followed Hyperlink" xfId="2641" builtinId="9" hidden="1"/>
    <cellStyle name="Followed Hyperlink" xfId="2642" builtinId="9" hidden="1"/>
    <cellStyle name="Followed Hyperlink" xfId="2643" builtinId="9" hidden="1"/>
    <cellStyle name="Followed Hyperlink" xfId="2644" builtinId="9" hidden="1"/>
    <cellStyle name="Followed Hyperlink" xfId="2645" builtinId="9" hidden="1"/>
    <cellStyle name="Followed Hyperlink" xfId="2646" builtinId="9" hidden="1"/>
    <cellStyle name="Followed Hyperlink" xfId="2647" builtinId="9" hidden="1"/>
    <cellStyle name="Followed Hyperlink" xfId="2648" builtinId="9" hidden="1"/>
    <cellStyle name="Followed Hyperlink" xfId="2649" builtinId="9" hidden="1"/>
    <cellStyle name="Followed Hyperlink" xfId="2650" builtinId="9" hidden="1"/>
    <cellStyle name="Followed Hyperlink" xfId="2651" builtinId="9" hidden="1"/>
    <cellStyle name="Followed Hyperlink" xfId="2652" builtinId="9" hidden="1"/>
    <cellStyle name="Followed Hyperlink" xfId="2653" builtinId="9" hidden="1"/>
    <cellStyle name="Followed Hyperlink" xfId="2654" builtinId="9" hidden="1"/>
    <cellStyle name="Followed Hyperlink" xfId="2655" builtinId="9" hidden="1"/>
    <cellStyle name="Followed Hyperlink" xfId="2656" builtinId="9" hidden="1"/>
    <cellStyle name="Followed Hyperlink" xfId="2657" builtinId="9" hidden="1"/>
    <cellStyle name="Followed Hyperlink" xfId="2658" builtinId="9" hidden="1"/>
    <cellStyle name="Followed Hyperlink" xfId="2659" builtinId="9" hidden="1"/>
    <cellStyle name="Followed Hyperlink" xfId="2660" builtinId="9" hidden="1"/>
    <cellStyle name="Followed Hyperlink" xfId="2661" builtinId="9" hidden="1"/>
    <cellStyle name="Followed Hyperlink" xfId="2662" builtinId="9" hidden="1"/>
    <cellStyle name="Followed Hyperlink" xfId="2663" builtinId="9" hidden="1"/>
    <cellStyle name="Followed Hyperlink" xfId="2664" builtinId="9" hidden="1"/>
    <cellStyle name="Followed Hyperlink" xfId="2665" builtinId="9" hidden="1"/>
    <cellStyle name="Followed Hyperlink" xfId="2666" builtinId="9" hidden="1"/>
    <cellStyle name="Followed Hyperlink" xfId="2667" builtinId="9" hidden="1"/>
    <cellStyle name="Followed Hyperlink" xfId="2668" builtinId="9" hidden="1"/>
    <cellStyle name="Followed Hyperlink" xfId="2669" builtinId="9" hidden="1"/>
    <cellStyle name="Followed Hyperlink" xfId="2670" builtinId="9" hidden="1"/>
    <cellStyle name="Followed Hyperlink" xfId="2671" builtinId="9" hidden="1"/>
    <cellStyle name="Followed Hyperlink" xfId="2672" builtinId="9" hidden="1"/>
    <cellStyle name="Followed Hyperlink" xfId="2673" builtinId="9" hidden="1"/>
    <cellStyle name="Followed Hyperlink" xfId="2674" builtinId="9" hidden="1"/>
    <cellStyle name="Followed Hyperlink" xfId="2675" builtinId="9" hidden="1"/>
    <cellStyle name="Followed Hyperlink" xfId="2676" builtinId="9" hidden="1"/>
    <cellStyle name="Followed Hyperlink" xfId="2677" builtinId="9" hidden="1"/>
    <cellStyle name="Followed Hyperlink" xfId="2678" builtinId="9" hidden="1"/>
    <cellStyle name="Followed Hyperlink" xfId="2679" builtinId="9" hidden="1"/>
    <cellStyle name="Followed Hyperlink" xfId="2680" builtinId="9" hidden="1"/>
    <cellStyle name="Followed Hyperlink" xfId="2681" builtinId="9" hidden="1"/>
    <cellStyle name="Followed Hyperlink" xfId="2682" builtinId="9" hidden="1"/>
    <cellStyle name="Followed Hyperlink" xfId="2683" builtinId="9" hidden="1"/>
    <cellStyle name="Followed Hyperlink" xfId="2684" builtinId="9" hidden="1"/>
    <cellStyle name="Followed Hyperlink" xfId="2685" builtinId="9" hidden="1"/>
    <cellStyle name="Followed Hyperlink" xfId="2686" builtinId="9" hidden="1"/>
    <cellStyle name="Followed Hyperlink" xfId="2687" builtinId="9" hidden="1"/>
    <cellStyle name="Followed Hyperlink" xfId="2688" builtinId="9" hidden="1"/>
    <cellStyle name="Followed Hyperlink" xfId="2689" builtinId="9" hidden="1"/>
    <cellStyle name="Followed Hyperlink" xfId="2690" builtinId="9" hidden="1"/>
    <cellStyle name="Followed Hyperlink" xfId="2691" builtinId="9" hidden="1"/>
    <cellStyle name="Followed Hyperlink" xfId="2692" builtinId="9" hidden="1"/>
    <cellStyle name="Followed Hyperlink" xfId="2693" builtinId="9" hidden="1"/>
    <cellStyle name="Followed Hyperlink" xfId="2694" builtinId="9" hidden="1"/>
    <cellStyle name="Followed Hyperlink" xfId="2695" builtinId="9" hidden="1"/>
    <cellStyle name="Followed Hyperlink" xfId="2696" builtinId="9" hidden="1"/>
    <cellStyle name="Followed Hyperlink" xfId="2697" builtinId="9" hidden="1"/>
    <cellStyle name="Followed Hyperlink" xfId="2698" builtinId="9" hidden="1"/>
    <cellStyle name="Followed Hyperlink" xfId="2699" builtinId="9" hidden="1"/>
    <cellStyle name="Followed Hyperlink" xfId="2700" builtinId="9" hidden="1"/>
    <cellStyle name="Followed Hyperlink" xfId="2701" builtinId="9" hidden="1"/>
    <cellStyle name="Followed Hyperlink" xfId="2702" builtinId="9" hidden="1"/>
    <cellStyle name="Followed Hyperlink" xfId="2703" builtinId="9" hidden="1"/>
    <cellStyle name="Followed Hyperlink" xfId="2704" builtinId="9" hidden="1"/>
    <cellStyle name="Followed Hyperlink" xfId="2705" builtinId="9" hidden="1"/>
    <cellStyle name="Followed Hyperlink" xfId="2706" builtinId="9" hidden="1"/>
    <cellStyle name="Followed Hyperlink" xfId="2707" builtinId="9" hidden="1"/>
    <cellStyle name="Followed Hyperlink" xfId="2708" builtinId="9" hidden="1"/>
    <cellStyle name="Followed Hyperlink" xfId="2709" builtinId="9" hidden="1"/>
    <cellStyle name="Followed Hyperlink" xfId="2710" builtinId="9" hidden="1"/>
    <cellStyle name="Followed Hyperlink" xfId="2711" builtinId="9" hidden="1"/>
    <cellStyle name="Followed Hyperlink" xfId="2712" builtinId="9" hidden="1"/>
    <cellStyle name="Followed Hyperlink" xfId="2713" builtinId="9" hidden="1"/>
    <cellStyle name="Followed Hyperlink" xfId="2714" builtinId="9" hidden="1"/>
    <cellStyle name="Followed Hyperlink" xfId="2715" builtinId="9" hidden="1"/>
    <cellStyle name="Followed Hyperlink" xfId="2716" builtinId="9" hidden="1"/>
    <cellStyle name="Followed Hyperlink" xfId="2717" builtinId="9" hidden="1"/>
    <cellStyle name="Followed Hyperlink" xfId="2718" builtinId="9" hidden="1"/>
    <cellStyle name="Followed Hyperlink" xfId="2719" builtinId="9" hidden="1"/>
    <cellStyle name="Followed Hyperlink" xfId="2720" builtinId="9" hidden="1"/>
    <cellStyle name="Followed Hyperlink" xfId="2721" builtinId="9" hidden="1"/>
    <cellStyle name="Followed Hyperlink" xfId="2722" builtinId="9" hidden="1"/>
    <cellStyle name="Followed Hyperlink" xfId="2723" builtinId="9" hidden="1"/>
    <cellStyle name="Followed Hyperlink" xfId="2724" builtinId="9" hidden="1"/>
    <cellStyle name="Followed Hyperlink" xfId="2725" builtinId="9" hidden="1"/>
    <cellStyle name="Followed Hyperlink" xfId="2726"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1" builtinId="9" hidden="1"/>
    <cellStyle name="Followed Hyperlink" xfId="2732" builtinId="9" hidden="1"/>
    <cellStyle name="Followed Hyperlink" xfId="2733"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39"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4" builtinId="9" hidden="1"/>
    <cellStyle name="Followed Hyperlink" xfId="2745" builtinId="9" hidden="1"/>
    <cellStyle name="Followed Hyperlink" xfId="2746" builtinId="9" hidden="1"/>
    <cellStyle name="Followed Hyperlink" xfId="2747"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xfId="2755" builtinId="9" hidden="1"/>
    <cellStyle name="Followed Hyperlink" xfId="2756" builtinId="9" hidden="1"/>
    <cellStyle name="Followed Hyperlink" xfId="2757" builtinId="9" hidden="1"/>
    <cellStyle name="Followed Hyperlink" xfId="2758" builtinId="9" hidden="1"/>
    <cellStyle name="Followed Hyperlink" xfId="2759" builtinId="9" hidden="1"/>
    <cellStyle name="Followed Hyperlink" xfId="2760" builtinId="9" hidden="1"/>
    <cellStyle name="Followed Hyperlink" xfId="2761" builtinId="9" hidden="1"/>
    <cellStyle name="Followed Hyperlink" xfId="2762" builtinId="9" hidden="1"/>
    <cellStyle name="Followed Hyperlink" xfId="2763" builtinId="9" hidden="1"/>
    <cellStyle name="Followed Hyperlink" xfId="2764" builtinId="9" hidden="1"/>
    <cellStyle name="Followed Hyperlink" xfId="2765" builtinId="9" hidden="1"/>
    <cellStyle name="Followed Hyperlink" xfId="2766" builtinId="9" hidden="1"/>
    <cellStyle name="Followed Hyperlink" xfId="2767" builtinId="9" hidden="1"/>
    <cellStyle name="Followed Hyperlink" xfId="2768" builtinId="9" hidden="1"/>
    <cellStyle name="Followed Hyperlink" xfId="2769" builtinId="9" hidden="1"/>
    <cellStyle name="Followed Hyperlink" xfId="2770" builtinId="9" hidden="1"/>
    <cellStyle name="Followed Hyperlink" xfId="2771" builtinId="9" hidden="1"/>
    <cellStyle name="Followed Hyperlink" xfId="2772" builtinId="9" hidden="1"/>
    <cellStyle name="Followed Hyperlink" xfId="2773" builtinId="9" hidden="1"/>
    <cellStyle name="Followed Hyperlink" xfId="2774" builtinId="9" hidden="1"/>
    <cellStyle name="Followed Hyperlink" xfId="2775" builtinId="9" hidden="1"/>
    <cellStyle name="Followed Hyperlink" xfId="2776" builtinId="9" hidden="1"/>
    <cellStyle name="Followed Hyperlink" xfId="2777" builtinId="9" hidden="1"/>
    <cellStyle name="Followed Hyperlink" xfId="2778" builtinId="9" hidden="1"/>
    <cellStyle name="Followed Hyperlink" xfId="2779" builtinId="9" hidden="1"/>
    <cellStyle name="Followed Hyperlink" xfId="2780" builtinId="9" hidden="1"/>
    <cellStyle name="Followed Hyperlink" xfId="2781" builtinId="9" hidden="1"/>
    <cellStyle name="Followed Hyperlink" xfId="2782" builtinId="9" hidden="1"/>
    <cellStyle name="Followed Hyperlink" xfId="2783" builtinId="9" hidden="1"/>
    <cellStyle name="Followed Hyperlink" xfId="2784" builtinId="9" hidden="1"/>
    <cellStyle name="Followed Hyperlink" xfId="2785" builtinId="9" hidden="1"/>
    <cellStyle name="Followed Hyperlink" xfId="2786" builtinId="9" hidden="1"/>
    <cellStyle name="Followed Hyperlink" xfId="2787" builtinId="9" hidden="1"/>
    <cellStyle name="Followed Hyperlink" xfId="2788" builtinId="9" hidden="1"/>
    <cellStyle name="Followed Hyperlink" xfId="2789" builtinId="9" hidden="1"/>
    <cellStyle name="Followed Hyperlink" xfId="2790" builtinId="9" hidden="1"/>
    <cellStyle name="Followed Hyperlink" xfId="2791" builtinId="9" hidden="1"/>
    <cellStyle name="Followed Hyperlink" xfId="2792" builtinId="9" hidden="1"/>
    <cellStyle name="Followed Hyperlink" xfId="2793" builtinId="9" hidden="1"/>
    <cellStyle name="Followed Hyperlink" xfId="2794" builtinId="9" hidden="1"/>
    <cellStyle name="Followed Hyperlink" xfId="2795" builtinId="9" hidden="1"/>
    <cellStyle name="Followed Hyperlink" xfId="2796" builtinId="9" hidden="1"/>
    <cellStyle name="Followed Hyperlink" xfId="2797" builtinId="9" hidden="1"/>
    <cellStyle name="Followed Hyperlink" xfId="2798" builtinId="9" hidden="1"/>
    <cellStyle name="Followed Hyperlink" xfId="2799" builtinId="9" hidden="1"/>
    <cellStyle name="Followed Hyperlink" xfId="2800" builtinId="9" hidden="1"/>
    <cellStyle name="Followed Hyperlink" xfId="2801" builtinId="9" hidden="1"/>
    <cellStyle name="Followed Hyperlink" xfId="2802" builtinId="9" hidden="1"/>
    <cellStyle name="Followed Hyperlink" xfId="2803" builtinId="9" hidden="1"/>
    <cellStyle name="Followed Hyperlink" xfId="2804" builtinId="9" hidden="1"/>
    <cellStyle name="Followed Hyperlink" xfId="2805" builtinId="9" hidden="1"/>
    <cellStyle name="Followed Hyperlink" xfId="2806" builtinId="9" hidden="1"/>
    <cellStyle name="Followed Hyperlink" xfId="2808" builtinId="9" hidden="1"/>
    <cellStyle name="Followed Hyperlink" xfId="2810" builtinId="9" hidden="1"/>
    <cellStyle name="Followed Hyperlink" xfId="2812" builtinId="9" hidden="1"/>
    <cellStyle name="Followed Hyperlink" xfId="2814" builtinId="9" hidden="1"/>
    <cellStyle name="Followed Hyperlink" xfId="2816" builtinId="9" hidden="1"/>
    <cellStyle name="Followed Hyperlink" xfId="2818" builtinId="9" hidden="1"/>
    <cellStyle name="Followed Hyperlink" xfId="2820" builtinId="9" hidden="1"/>
    <cellStyle name="Followed Hyperlink" xfId="2822" builtinId="9" hidden="1"/>
    <cellStyle name="Followed Hyperlink" xfId="2824" builtinId="9" hidden="1"/>
    <cellStyle name="Followed Hyperlink" xfId="2826" builtinId="9" hidden="1"/>
    <cellStyle name="Followed Hyperlink" xfId="2828" builtinId="9" hidden="1"/>
    <cellStyle name="Followed Hyperlink" xfId="2830" builtinId="9" hidden="1"/>
    <cellStyle name="Followed Hyperlink" xfId="2832" builtinId="9" hidden="1"/>
    <cellStyle name="Followed Hyperlink" xfId="2834" builtinId="9" hidden="1"/>
    <cellStyle name="Followed Hyperlink" xfId="2836" builtinId="9" hidden="1"/>
    <cellStyle name="Followed Hyperlink" xfId="2838" builtinId="9" hidden="1"/>
    <cellStyle name="Followed Hyperlink" xfId="2840" builtinId="9" hidden="1"/>
    <cellStyle name="Followed Hyperlink" xfId="2842" builtinId="9" hidden="1"/>
    <cellStyle name="Followed Hyperlink" xfId="2844" builtinId="9" hidden="1"/>
    <cellStyle name="Followed Hyperlink" xfId="2846" builtinId="9" hidden="1"/>
    <cellStyle name="Followed Hyperlink" xfId="2848" builtinId="9" hidden="1"/>
    <cellStyle name="Followed Hyperlink" xfId="2850" builtinId="9" hidden="1"/>
    <cellStyle name="Followed Hyperlink" xfId="2852" builtinId="9" hidden="1"/>
    <cellStyle name="Followed Hyperlink" xfId="2854" builtinId="9" hidden="1"/>
    <cellStyle name="Followed Hyperlink" xfId="2856" builtinId="9" hidden="1"/>
    <cellStyle name="Followed Hyperlink" xfId="2858" builtinId="9" hidden="1"/>
    <cellStyle name="Followed Hyperlink" xfId="2860" builtinId="9" hidden="1"/>
    <cellStyle name="Followed Hyperlink" xfId="2862" builtinId="9" hidden="1"/>
    <cellStyle name="Followed Hyperlink" xfId="2864" builtinId="9" hidden="1"/>
    <cellStyle name="Followed Hyperlink" xfId="2866" builtinId="9" hidden="1"/>
    <cellStyle name="Followed Hyperlink" xfId="2868" builtinId="9" hidden="1"/>
    <cellStyle name="Followed Hyperlink" xfId="2870" builtinId="9" hidden="1"/>
    <cellStyle name="Followed Hyperlink" xfId="2872" builtinId="9" hidden="1"/>
    <cellStyle name="Followed Hyperlink" xfId="2874" builtinId="9" hidden="1"/>
    <cellStyle name="Followed Hyperlink" xfId="2876" builtinId="9" hidden="1"/>
    <cellStyle name="Followed Hyperlink" xfId="2878" builtinId="9" hidden="1"/>
    <cellStyle name="Followed Hyperlink" xfId="2880" builtinId="9" hidden="1"/>
    <cellStyle name="Followed Hyperlink" xfId="2882" builtinId="9" hidden="1"/>
    <cellStyle name="Followed Hyperlink" xfId="2884" builtinId="9" hidden="1"/>
    <cellStyle name="Followed Hyperlink" xfId="2886" builtinId="9" hidden="1"/>
    <cellStyle name="Followed Hyperlink" xfId="2888" builtinId="9" hidden="1"/>
    <cellStyle name="Followed Hyperlink" xfId="2890" builtinId="9" hidden="1"/>
    <cellStyle name="Followed Hyperlink" xfId="2892" builtinId="9" hidden="1"/>
    <cellStyle name="Followed Hyperlink" xfId="2894" builtinId="9" hidden="1"/>
    <cellStyle name="Followed Hyperlink" xfId="2896" builtinId="9" hidden="1"/>
    <cellStyle name="Followed Hyperlink" xfId="2898" builtinId="9" hidden="1"/>
    <cellStyle name="Followed Hyperlink" xfId="2900" builtinId="9" hidden="1"/>
    <cellStyle name="Followed Hyperlink" xfId="2902" builtinId="9"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172" builtinId="8" hidden="1"/>
    <cellStyle name="Hyperlink" xfId="1174" builtinId="8" hidden="1"/>
    <cellStyle name="Hyperlink" xfId="1176" builtinId="8" hidden="1"/>
    <cellStyle name="Hyperlink" xfId="1178"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0" builtinId="8" hidden="1"/>
    <cellStyle name="Hyperlink" xfId="1212" builtinId="8" hidden="1"/>
    <cellStyle name="Hyperlink" xfId="1214" builtinId="8" hidden="1"/>
    <cellStyle name="Hyperlink" xfId="1216" builtinId="8" hidden="1"/>
    <cellStyle name="Hyperlink" xfId="1218" builtinId="8" hidden="1"/>
    <cellStyle name="Hyperlink" xfId="1220" builtinId="8" hidden="1"/>
    <cellStyle name="Hyperlink" xfId="1222" builtinId="8" hidden="1"/>
    <cellStyle name="Hyperlink" xfId="1224" builtinId="8" hidden="1"/>
    <cellStyle name="Hyperlink" xfId="1226" builtinId="8" hidden="1"/>
    <cellStyle name="Hyperlink" xfId="1228" builtinId="8" hidden="1"/>
    <cellStyle name="Hyperlink" xfId="1230" builtinId="8" hidden="1"/>
    <cellStyle name="Hyperlink" xfId="1232" builtinId="8" hidden="1"/>
    <cellStyle name="Hyperlink" xfId="1234" builtinId="8" hidden="1"/>
    <cellStyle name="Hyperlink" xfId="1236" builtinId="8" hidden="1"/>
    <cellStyle name="Hyperlink" xfId="1238" builtinId="8" hidden="1"/>
    <cellStyle name="Hyperlink" xfId="1240" builtinId="8" hidden="1"/>
    <cellStyle name="Hyperlink" xfId="1242" builtinId="8" hidden="1"/>
    <cellStyle name="Hyperlink" xfId="1244" builtinId="8" hidden="1"/>
    <cellStyle name="Hyperlink" xfId="1246" builtinId="8" hidden="1"/>
    <cellStyle name="Hyperlink" xfId="1248" builtinId="8" hidden="1"/>
    <cellStyle name="Hyperlink" xfId="1250" builtinId="8" hidden="1"/>
    <cellStyle name="Hyperlink" xfId="1252" builtinId="8" hidden="1"/>
    <cellStyle name="Hyperlink" xfId="1254" builtinId="8" hidden="1"/>
    <cellStyle name="Hyperlink" xfId="1256" builtinId="8" hidden="1"/>
    <cellStyle name="Hyperlink" xfId="1258" builtinId="8" hidden="1"/>
    <cellStyle name="Hyperlink" xfId="1260" builtinId="8" hidden="1"/>
    <cellStyle name="Hyperlink" xfId="1262" builtinId="8" hidden="1"/>
    <cellStyle name="Hyperlink" xfId="1264" builtinId="8" hidden="1"/>
    <cellStyle name="Hyperlink" xfId="1266" builtinId="8" hidden="1"/>
    <cellStyle name="Hyperlink" xfId="1268" builtinId="8" hidden="1"/>
    <cellStyle name="Hyperlink" xfId="1270" builtinId="8" hidden="1"/>
    <cellStyle name="Hyperlink" xfId="1272" builtinId="8" hidden="1"/>
    <cellStyle name="Hyperlink" xfId="1274" builtinId="8" hidden="1"/>
    <cellStyle name="Hyperlink" xfId="1276" builtinId="8" hidden="1"/>
    <cellStyle name="Hyperlink" xfId="1278" builtinId="8" hidden="1"/>
    <cellStyle name="Hyperlink" xfId="1280" builtinId="8" hidden="1"/>
    <cellStyle name="Hyperlink" xfId="1282" builtinId="8" hidden="1"/>
    <cellStyle name="Hyperlink" xfId="1284" builtinId="8" hidden="1"/>
    <cellStyle name="Hyperlink" xfId="1286" builtinId="8" hidden="1"/>
    <cellStyle name="Hyperlink" xfId="1288" builtinId="8" hidden="1"/>
    <cellStyle name="Hyperlink" xfId="1290" builtinId="8" hidden="1"/>
    <cellStyle name="Hyperlink" xfId="1292" builtinId="8" hidden="1"/>
    <cellStyle name="Hyperlink" xfId="1294" builtinId="8" hidden="1"/>
    <cellStyle name="Hyperlink" xfId="1296" builtinId="8" hidden="1"/>
    <cellStyle name="Hyperlink" xfId="1298" builtinId="8" hidden="1"/>
    <cellStyle name="Hyperlink" xfId="1300" builtinId="8" hidden="1"/>
    <cellStyle name="Hyperlink" xfId="1302" builtinId="8" hidden="1"/>
    <cellStyle name="Hyperlink" xfId="1304" builtinId="8" hidden="1"/>
    <cellStyle name="Hyperlink" xfId="1306" builtinId="8" hidden="1"/>
    <cellStyle name="Hyperlink" xfId="1308" builtinId="8" hidden="1"/>
    <cellStyle name="Hyperlink" xfId="1310" builtinId="8" hidden="1"/>
    <cellStyle name="Hyperlink" xfId="1312" builtinId="8" hidden="1"/>
    <cellStyle name="Hyperlink" xfId="1314" builtinId="8" hidden="1"/>
    <cellStyle name="Hyperlink" xfId="1316" builtinId="8" hidden="1"/>
    <cellStyle name="Hyperlink" xfId="1318" builtinId="8" hidden="1"/>
    <cellStyle name="Hyperlink" xfId="1320" builtinId="8" hidden="1"/>
    <cellStyle name="Hyperlink" xfId="1322" builtinId="8" hidden="1"/>
    <cellStyle name="Hyperlink" xfId="1324" builtinId="8" hidden="1"/>
    <cellStyle name="Hyperlink" xfId="1326" builtinId="8" hidden="1"/>
    <cellStyle name="Hyperlink" xfId="1328" builtinId="8" hidden="1"/>
    <cellStyle name="Hyperlink" xfId="1330" builtinId="8" hidden="1"/>
    <cellStyle name="Hyperlink" xfId="1332" builtinId="8" hidden="1"/>
    <cellStyle name="Hyperlink" xfId="1334" builtinId="8" hidden="1"/>
    <cellStyle name="Hyperlink" xfId="1336" builtinId="8" hidden="1"/>
    <cellStyle name="Hyperlink" xfId="1338" builtinId="8" hidden="1"/>
    <cellStyle name="Hyperlink" xfId="1340" builtinId="8" hidden="1"/>
    <cellStyle name="Hyperlink" xfId="1342" builtinId="8" hidden="1"/>
    <cellStyle name="Hyperlink" xfId="1344" builtinId="8" hidden="1"/>
    <cellStyle name="Hyperlink" xfId="1346" builtinId="8" hidden="1"/>
    <cellStyle name="Hyperlink" xfId="1348" builtinId="8" hidden="1"/>
    <cellStyle name="Hyperlink" xfId="1350" builtinId="8" hidden="1"/>
    <cellStyle name="Hyperlink" xfId="1352" builtinId="8" hidden="1"/>
    <cellStyle name="Hyperlink" xfId="1354" builtinId="8" hidden="1"/>
    <cellStyle name="Hyperlink" xfId="1356" builtinId="8" hidden="1"/>
    <cellStyle name="Hyperlink" xfId="1358" builtinId="8" hidden="1"/>
    <cellStyle name="Hyperlink" xfId="1360" builtinId="8" hidden="1"/>
    <cellStyle name="Hyperlink" xfId="1362" builtinId="8" hidden="1"/>
    <cellStyle name="Hyperlink" xfId="1364" builtinId="8" hidden="1"/>
    <cellStyle name="Hyperlink" xfId="1366" builtinId="8" hidden="1"/>
    <cellStyle name="Hyperlink" xfId="1368" builtinId="8" hidden="1"/>
    <cellStyle name="Hyperlink" xfId="1370" builtinId="8" hidden="1"/>
    <cellStyle name="Hyperlink" xfId="1372" builtinId="8" hidden="1"/>
    <cellStyle name="Hyperlink" xfId="1374" builtinId="8" hidden="1"/>
    <cellStyle name="Hyperlink" xfId="1376" builtinId="8" hidden="1"/>
    <cellStyle name="Hyperlink" xfId="1378" builtinId="8" hidden="1"/>
    <cellStyle name="Hyperlink" xfId="1380" builtinId="8" hidden="1"/>
    <cellStyle name="Hyperlink" xfId="1382" builtinId="8" hidden="1"/>
    <cellStyle name="Hyperlink" xfId="1384" builtinId="8" hidden="1"/>
    <cellStyle name="Hyperlink" xfId="1386" builtinId="8" hidden="1"/>
    <cellStyle name="Hyperlink" xfId="1388" builtinId="8" hidden="1"/>
    <cellStyle name="Hyperlink" xfId="1390" builtinId="8" hidden="1"/>
    <cellStyle name="Hyperlink" xfId="1392" builtinId="8" hidden="1"/>
    <cellStyle name="Hyperlink" xfId="1394" builtinId="8" hidden="1"/>
    <cellStyle name="Hyperlink" xfId="1396" builtinId="8" hidden="1"/>
    <cellStyle name="Hyperlink" xfId="1398" builtinId="8" hidden="1"/>
    <cellStyle name="Hyperlink" xfId="1400" builtinId="8" hidden="1"/>
    <cellStyle name="Hyperlink" xfId="1402" builtinId="8" hidden="1"/>
    <cellStyle name="Hyperlink" xfId="1404" builtinId="8" hidden="1"/>
    <cellStyle name="Hyperlink" xfId="1406" builtinId="8" hidden="1"/>
    <cellStyle name="Hyperlink" xfId="1408" builtinId="8" hidden="1"/>
    <cellStyle name="Hyperlink" xfId="1410" builtinId="8" hidden="1"/>
    <cellStyle name="Hyperlink" xfId="1412" builtinId="8" hidden="1"/>
    <cellStyle name="Hyperlink" xfId="1414" builtinId="8" hidden="1"/>
    <cellStyle name="Hyperlink" xfId="1416" builtinId="8" hidden="1"/>
    <cellStyle name="Hyperlink" xfId="1418" builtinId="8" hidden="1"/>
    <cellStyle name="Hyperlink" xfId="1420" builtinId="8" hidden="1"/>
    <cellStyle name="Hyperlink" xfId="1422" builtinId="8" hidden="1"/>
    <cellStyle name="Hyperlink" xfId="1424" builtinId="8" hidden="1"/>
    <cellStyle name="Hyperlink" xfId="1426" builtinId="8" hidden="1"/>
    <cellStyle name="Hyperlink" xfId="1428" builtinId="8" hidden="1"/>
    <cellStyle name="Hyperlink" xfId="1430" builtinId="8" hidden="1"/>
    <cellStyle name="Hyperlink" xfId="1432" builtinId="8" hidden="1"/>
    <cellStyle name="Hyperlink" xfId="1434" builtinId="8" hidden="1"/>
    <cellStyle name="Hyperlink" xfId="1436" builtinId="8" hidden="1"/>
    <cellStyle name="Hyperlink" xfId="1438" builtinId="8" hidden="1"/>
    <cellStyle name="Hyperlink" xfId="1440" builtinId="8" hidden="1"/>
    <cellStyle name="Hyperlink" xfId="1442" builtinId="8" hidden="1"/>
    <cellStyle name="Hyperlink" xfId="1444" builtinId="8" hidden="1"/>
    <cellStyle name="Hyperlink" xfId="1446" builtinId="8" hidden="1"/>
    <cellStyle name="Hyperlink" xfId="1448" builtinId="8" hidden="1"/>
    <cellStyle name="Hyperlink" xfId="1450" builtinId="8" hidden="1"/>
    <cellStyle name="Hyperlink" xfId="1452" builtinId="8" hidden="1"/>
    <cellStyle name="Hyperlink" xfId="1454" builtinId="8" hidden="1"/>
    <cellStyle name="Hyperlink" xfId="1456" builtinId="8" hidden="1"/>
    <cellStyle name="Hyperlink" xfId="1458" builtinId="8" hidden="1"/>
    <cellStyle name="Hyperlink" xfId="1460" builtinId="8" hidden="1"/>
    <cellStyle name="Hyperlink" xfId="1462" builtinId="8" hidden="1"/>
    <cellStyle name="Hyperlink" xfId="1464" builtinId="8" hidden="1"/>
    <cellStyle name="Hyperlink" xfId="1466" builtinId="8" hidden="1"/>
    <cellStyle name="Hyperlink" xfId="1468" builtinId="8" hidden="1"/>
    <cellStyle name="Hyperlink" xfId="1470" builtinId="8" hidden="1"/>
    <cellStyle name="Hyperlink" xfId="1472" builtinId="8" hidden="1"/>
    <cellStyle name="Hyperlink" xfId="1474" builtinId="8" hidden="1"/>
    <cellStyle name="Hyperlink" xfId="1476" builtinId="8" hidden="1"/>
    <cellStyle name="Hyperlink" xfId="1478" builtinId="8" hidden="1"/>
    <cellStyle name="Hyperlink" xfId="1480" builtinId="8" hidden="1"/>
    <cellStyle name="Hyperlink" xfId="1482" builtinId="8" hidden="1"/>
    <cellStyle name="Hyperlink" xfId="1484" builtinId="8" hidden="1"/>
    <cellStyle name="Hyperlink" xfId="1486" builtinId="8" hidden="1"/>
    <cellStyle name="Hyperlink" xfId="1488" builtinId="8" hidden="1"/>
    <cellStyle name="Hyperlink" xfId="1490" builtinId="8" hidden="1"/>
    <cellStyle name="Hyperlink" xfId="1492" builtinId="8" hidden="1"/>
    <cellStyle name="Hyperlink" xfId="1494" builtinId="8" hidden="1"/>
    <cellStyle name="Hyperlink" xfId="1496" builtinId="8" hidden="1"/>
    <cellStyle name="Hyperlink" xfId="1498" builtinId="8" hidden="1"/>
    <cellStyle name="Hyperlink" xfId="1500" builtinId="8" hidden="1"/>
    <cellStyle name="Hyperlink" xfId="1502" builtinId="8" hidden="1"/>
    <cellStyle name="Hyperlink" xfId="1504" builtinId="8" hidden="1"/>
    <cellStyle name="Hyperlink" xfId="1506" builtinId="8" hidden="1"/>
    <cellStyle name="Hyperlink" xfId="1508" builtinId="8" hidden="1"/>
    <cellStyle name="Hyperlink" xfId="1510" builtinId="8" hidden="1"/>
    <cellStyle name="Hyperlink" xfId="1512" builtinId="8" hidden="1"/>
    <cellStyle name="Hyperlink" xfId="1514" builtinId="8" hidden="1"/>
    <cellStyle name="Hyperlink" xfId="1516" builtinId="8" hidden="1"/>
    <cellStyle name="Hyperlink" xfId="1518" builtinId="8" hidden="1"/>
    <cellStyle name="Hyperlink" xfId="1520" builtinId="8" hidden="1"/>
    <cellStyle name="Hyperlink" xfId="1522" builtinId="8" hidden="1"/>
    <cellStyle name="Hyperlink" xfId="1524" builtinId="8" hidden="1"/>
    <cellStyle name="Hyperlink" xfId="1526" builtinId="8" hidden="1"/>
    <cellStyle name="Hyperlink" xfId="1528" builtinId="8" hidden="1"/>
    <cellStyle name="Hyperlink" xfId="1530" builtinId="8" hidden="1"/>
    <cellStyle name="Hyperlink" xfId="1532" builtinId="8" hidden="1"/>
    <cellStyle name="Hyperlink" xfId="1534" builtinId="8" hidden="1"/>
    <cellStyle name="Hyperlink" xfId="1536" builtinId="8" hidden="1"/>
    <cellStyle name="Hyperlink" xfId="1538" builtinId="8" hidden="1"/>
    <cellStyle name="Hyperlink" xfId="1540" builtinId="8" hidden="1"/>
    <cellStyle name="Hyperlink" xfId="1542" builtinId="8" hidden="1"/>
    <cellStyle name="Hyperlink" xfId="1544" builtinId="8" hidden="1"/>
    <cellStyle name="Hyperlink" xfId="1546" builtinId="8" hidden="1"/>
    <cellStyle name="Hyperlink" xfId="1548" builtinId="8" hidden="1"/>
    <cellStyle name="Hyperlink" xfId="1550" builtinId="8" hidden="1"/>
    <cellStyle name="Hyperlink" xfId="1552" builtinId="8" hidden="1"/>
    <cellStyle name="Hyperlink" xfId="1554" builtinId="8" hidden="1"/>
    <cellStyle name="Hyperlink" xfId="1556" builtinId="8" hidden="1"/>
    <cellStyle name="Hyperlink" xfId="1558" builtinId="8" hidden="1"/>
    <cellStyle name="Hyperlink" xfId="1560" builtinId="8" hidden="1"/>
    <cellStyle name="Hyperlink" xfId="1562" builtinId="8" hidden="1"/>
    <cellStyle name="Hyperlink" xfId="1564" builtinId="8" hidden="1"/>
    <cellStyle name="Hyperlink" xfId="1566" builtinId="8" hidden="1"/>
    <cellStyle name="Hyperlink" xfId="1568" builtinId="8" hidden="1"/>
    <cellStyle name="Hyperlink" xfId="1570" builtinId="8" hidden="1"/>
    <cellStyle name="Hyperlink" xfId="1572" builtinId="8" hidden="1"/>
    <cellStyle name="Hyperlink" xfId="1574" builtinId="8" hidden="1"/>
    <cellStyle name="Hyperlink" xfId="1576" builtinId="8" hidden="1"/>
    <cellStyle name="Hyperlink" xfId="1578" builtinId="8" hidden="1"/>
    <cellStyle name="Hyperlink" xfId="1580" builtinId="8" hidden="1"/>
    <cellStyle name="Hyperlink" xfId="1582" builtinId="8" hidden="1"/>
    <cellStyle name="Hyperlink" xfId="1584" builtinId="8" hidden="1"/>
    <cellStyle name="Hyperlink" xfId="1586" builtinId="8" hidden="1"/>
    <cellStyle name="Hyperlink" xfId="1588" builtinId="8" hidden="1"/>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Hyperlink" xfId="1608" builtinId="8" hidden="1"/>
    <cellStyle name="Hyperlink" xfId="1610" builtinId="8" hidden="1"/>
    <cellStyle name="Hyperlink" xfId="1612" builtinId="8" hidden="1"/>
    <cellStyle name="Hyperlink" xfId="1614" builtinId="8" hidden="1"/>
    <cellStyle name="Hyperlink" xfId="1616" builtinId="8" hidden="1"/>
    <cellStyle name="Hyperlink" xfId="1618" builtinId="8" hidden="1"/>
    <cellStyle name="Hyperlink" xfId="1620" builtinId="8" hidden="1"/>
    <cellStyle name="Hyperlink" xfId="1622" builtinId="8" hidden="1"/>
    <cellStyle name="Hyperlink" xfId="1624" builtinId="8" hidden="1"/>
    <cellStyle name="Hyperlink" xfId="1626" builtinId="8" hidden="1"/>
    <cellStyle name="Hyperlink" xfId="1628" builtinId="8" hidden="1"/>
    <cellStyle name="Hyperlink" xfId="1630" builtinId="8" hidden="1"/>
    <cellStyle name="Hyperlink" xfId="1632" builtinId="8" hidden="1"/>
    <cellStyle name="Hyperlink" xfId="1634" builtinId="8" hidden="1"/>
    <cellStyle name="Hyperlink" xfId="1636" builtinId="8" hidden="1"/>
    <cellStyle name="Hyperlink" xfId="1638" builtinId="8" hidden="1"/>
    <cellStyle name="Hyperlink" xfId="1640" builtinId="8" hidden="1"/>
    <cellStyle name="Hyperlink" xfId="1642" builtinId="8" hidden="1"/>
    <cellStyle name="Hyperlink" xfId="1644" builtinId="8" hidden="1"/>
    <cellStyle name="Hyperlink" xfId="1646" builtinId="8" hidden="1"/>
    <cellStyle name="Hyperlink" xfId="1648" builtinId="8" hidden="1"/>
    <cellStyle name="Hyperlink" xfId="1650" builtinId="8" hidden="1"/>
    <cellStyle name="Hyperlink" xfId="1652" builtinId="8" hidden="1"/>
    <cellStyle name="Hyperlink" xfId="1654" builtinId="8" hidden="1"/>
    <cellStyle name="Hyperlink" xfId="1656" builtinId="8" hidden="1"/>
    <cellStyle name="Hyperlink" xfId="1658" builtinId="8" hidden="1"/>
    <cellStyle name="Hyperlink" xfId="1660" builtinId="8" hidden="1"/>
    <cellStyle name="Hyperlink" xfId="1662" builtinId="8" hidden="1"/>
    <cellStyle name="Hyperlink" xfId="1664" builtinId="8" hidden="1"/>
    <cellStyle name="Hyperlink" xfId="1666" builtinId="8" hidden="1"/>
    <cellStyle name="Hyperlink" xfId="1668" builtinId="8" hidden="1"/>
    <cellStyle name="Hyperlink" xfId="1670" builtinId="8" hidden="1"/>
    <cellStyle name="Hyperlink" xfId="1672" builtinId="8" hidden="1"/>
    <cellStyle name="Hyperlink" xfId="1674" builtinId="8" hidden="1"/>
    <cellStyle name="Hyperlink" xfId="1676" builtinId="8" hidden="1"/>
    <cellStyle name="Hyperlink" xfId="1678" builtinId="8" hidden="1"/>
    <cellStyle name="Hyperlink" xfId="1680" builtinId="8" hidden="1"/>
    <cellStyle name="Hyperlink" xfId="1682" builtinId="8" hidden="1"/>
    <cellStyle name="Hyperlink" xfId="1684" builtinId="8" hidden="1"/>
    <cellStyle name="Hyperlink" xfId="1686" builtinId="8" hidden="1"/>
    <cellStyle name="Hyperlink" xfId="1688" builtinId="8" hidden="1"/>
    <cellStyle name="Hyperlink" xfId="1690" builtinId="8" hidden="1"/>
    <cellStyle name="Hyperlink" xfId="1692" builtinId="8" hidden="1"/>
    <cellStyle name="Hyperlink" xfId="1694" builtinId="8" hidden="1"/>
    <cellStyle name="Hyperlink" xfId="1696" builtinId="8" hidden="1"/>
    <cellStyle name="Hyperlink" xfId="1698" builtinId="8" hidden="1"/>
    <cellStyle name="Hyperlink" xfId="1700" builtinId="8" hidden="1"/>
    <cellStyle name="Hyperlink" xfId="1702" builtinId="8" hidden="1"/>
    <cellStyle name="Hyperlink" xfId="1704" builtinId="8" hidden="1"/>
    <cellStyle name="Hyperlink" xfId="1706" builtinId="8" hidden="1"/>
    <cellStyle name="Hyperlink" xfId="1708" builtinId="8" hidden="1"/>
    <cellStyle name="Hyperlink" xfId="1710" builtinId="8" hidden="1"/>
    <cellStyle name="Hyperlink" xfId="1712" builtinId="8" hidden="1"/>
    <cellStyle name="Hyperlink" xfId="1714" builtinId="8" hidden="1"/>
    <cellStyle name="Hyperlink" xfId="1716" builtinId="8" hidden="1"/>
    <cellStyle name="Hyperlink" xfId="1718" builtinId="8" hidden="1"/>
    <cellStyle name="Hyperlink" xfId="1720" builtinId="8" hidden="1"/>
    <cellStyle name="Hyperlink" xfId="1722" builtinId="8" hidden="1"/>
    <cellStyle name="Hyperlink" xfId="1724" builtinId="8" hidden="1"/>
    <cellStyle name="Hyperlink" xfId="1726" builtinId="8" hidden="1"/>
    <cellStyle name="Hyperlink" xfId="1728" builtinId="8" hidden="1"/>
    <cellStyle name="Hyperlink" xfId="1730" builtinId="8" hidden="1"/>
    <cellStyle name="Hyperlink" xfId="1732" builtinId="8" hidden="1"/>
    <cellStyle name="Hyperlink" xfId="1734" builtinId="8" hidden="1"/>
    <cellStyle name="Hyperlink" xfId="1736" builtinId="8" hidden="1"/>
    <cellStyle name="Hyperlink" xfId="1738" builtinId="8" hidden="1"/>
    <cellStyle name="Hyperlink" xfId="1740" builtinId="8" hidden="1"/>
    <cellStyle name="Hyperlink" xfId="1742" builtinId="8" hidden="1"/>
    <cellStyle name="Hyperlink" xfId="1744" builtinId="8" hidden="1"/>
    <cellStyle name="Hyperlink" xfId="1746" builtinId="8" hidden="1"/>
    <cellStyle name="Hyperlink" xfId="1748" builtinId="8" hidden="1"/>
    <cellStyle name="Hyperlink" xfId="1750" builtinId="8" hidden="1"/>
    <cellStyle name="Hyperlink" xfId="1752" builtinId="8" hidden="1"/>
    <cellStyle name="Hyperlink" xfId="1754" builtinId="8" hidden="1"/>
    <cellStyle name="Hyperlink" xfId="1756" builtinId="8" hidden="1"/>
    <cellStyle name="Hyperlink" xfId="1758" builtinId="8" hidden="1"/>
    <cellStyle name="Hyperlink" xfId="1760" builtinId="8" hidden="1"/>
    <cellStyle name="Hyperlink" xfId="1762" builtinId="8" hidden="1"/>
    <cellStyle name="Hyperlink" xfId="1764" builtinId="8" hidden="1"/>
    <cellStyle name="Hyperlink" xfId="1766" builtinId="8" hidden="1"/>
    <cellStyle name="Hyperlink" xfId="1768" builtinId="8" hidden="1"/>
    <cellStyle name="Hyperlink" xfId="1770" builtinId="8" hidden="1"/>
    <cellStyle name="Hyperlink" xfId="1772" builtinId="8" hidden="1"/>
    <cellStyle name="Hyperlink" xfId="1774" builtinId="8" hidden="1"/>
    <cellStyle name="Hyperlink" xfId="1776" builtinId="8" hidden="1"/>
    <cellStyle name="Hyperlink" xfId="1778" builtinId="8" hidden="1"/>
    <cellStyle name="Hyperlink" xfId="1780" builtinId="8" hidden="1"/>
    <cellStyle name="Hyperlink" xfId="1782" builtinId="8" hidden="1"/>
    <cellStyle name="Hyperlink" xfId="1784" builtinId="8" hidden="1"/>
    <cellStyle name="Hyperlink" xfId="1786" builtinId="8" hidden="1"/>
    <cellStyle name="Hyperlink" xfId="1788" builtinId="8" hidden="1"/>
    <cellStyle name="Hyperlink" xfId="1790" builtinId="8" hidden="1"/>
    <cellStyle name="Hyperlink" xfId="1792" builtinId="8" hidden="1"/>
    <cellStyle name="Hyperlink" xfId="1794" builtinId="8" hidden="1"/>
    <cellStyle name="Hyperlink" xfId="1796" builtinId="8" hidden="1"/>
    <cellStyle name="Hyperlink" xfId="1798" builtinId="8" hidden="1"/>
    <cellStyle name="Hyperlink" xfId="1800" builtinId="8" hidden="1"/>
    <cellStyle name="Hyperlink" xfId="1802" builtinId="8" hidden="1"/>
    <cellStyle name="Hyperlink" xfId="1804" builtinId="8" hidden="1"/>
    <cellStyle name="Hyperlink" xfId="1806" builtinId="8" hidden="1"/>
    <cellStyle name="Hyperlink" xfId="1808" builtinId="8" hidden="1"/>
    <cellStyle name="Hyperlink" xfId="1810" builtinId="8" hidden="1"/>
    <cellStyle name="Hyperlink" xfId="1812" builtinId="8" hidden="1"/>
    <cellStyle name="Hyperlink" xfId="1814" builtinId="8" hidden="1"/>
    <cellStyle name="Hyperlink" xfId="1816" builtinId="8" hidden="1"/>
    <cellStyle name="Hyperlink" xfId="1818" builtinId="8" hidden="1"/>
    <cellStyle name="Hyperlink" xfId="1820" builtinId="8" hidden="1"/>
    <cellStyle name="Hyperlink" xfId="1822" builtinId="8" hidden="1"/>
    <cellStyle name="Hyperlink" xfId="1824" builtinId="8" hidden="1"/>
    <cellStyle name="Hyperlink" xfId="1826" builtinId="8" hidden="1"/>
    <cellStyle name="Hyperlink" xfId="1828" builtinId="8" hidden="1"/>
    <cellStyle name="Hyperlink" xfId="1830" builtinId="8" hidden="1"/>
    <cellStyle name="Hyperlink" xfId="1832" builtinId="8" hidden="1"/>
    <cellStyle name="Hyperlink" xfId="1834" builtinId="8" hidden="1"/>
    <cellStyle name="Hyperlink" xfId="1836" builtinId="8" hidden="1"/>
    <cellStyle name="Hyperlink" xfId="1838" builtinId="8" hidden="1"/>
    <cellStyle name="Hyperlink" xfId="1840" builtinId="8" hidden="1"/>
    <cellStyle name="Hyperlink" xfId="1842" builtinId="8" hidden="1"/>
    <cellStyle name="Hyperlink" xfId="1844" builtinId="8" hidden="1"/>
    <cellStyle name="Hyperlink" xfId="1846" builtinId="8" hidden="1"/>
    <cellStyle name="Hyperlink" xfId="1848" builtinId="8" hidden="1"/>
    <cellStyle name="Hyperlink" xfId="1850" builtinId="8" hidden="1"/>
    <cellStyle name="Hyperlink" xfId="1852" builtinId="8" hidden="1"/>
    <cellStyle name="Hyperlink" xfId="1854" builtinId="8" hidden="1"/>
    <cellStyle name="Hyperlink" xfId="1856" builtinId="8" hidden="1"/>
    <cellStyle name="Hyperlink" xfId="1858" builtinId="8" hidden="1"/>
    <cellStyle name="Hyperlink" xfId="1860" builtinId="8" hidden="1"/>
    <cellStyle name="Hyperlink" xfId="1862" builtinId="8" hidden="1"/>
    <cellStyle name="Hyperlink" xfId="1864" builtinId="8" hidden="1"/>
    <cellStyle name="Hyperlink" xfId="1866" builtinId="8" hidden="1"/>
    <cellStyle name="Hyperlink" xfId="1868" builtinId="8" hidden="1"/>
    <cellStyle name="Hyperlink" xfId="1870" builtinId="8" hidden="1"/>
    <cellStyle name="Hyperlink" xfId="1872" builtinId="8" hidden="1"/>
    <cellStyle name="Hyperlink" xfId="1874" builtinId="8" hidden="1"/>
    <cellStyle name="Hyperlink" xfId="1876" builtinId="8" hidden="1"/>
    <cellStyle name="Hyperlink" xfId="1878" builtinId="8" hidden="1"/>
    <cellStyle name="Hyperlink" xfId="1880" builtinId="8" hidden="1"/>
    <cellStyle name="Hyperlink" xfId="1882" builtinId="8" hidden="1"/>
    <cellStyle name="Hyperlink" xfId="1884" builtinId="8" hidden="1"/>
    <cellStyle name="Hyperlink" xfId="1886" builtinId="8" hidden="1"/>
    <cellStyle name="Hyperlink" xfId="1888" builtinId="8" hidden="1"/>
    <cellStyle name="Hyperlink" xfId="1890" builtinId="8" hidden="1"/>
    <cellStyle name="Hyperlink" xfId="1892" builtinId="8" hidden="1"/>
    <cellStyle name="Hyperlink" xfId="1894" builtinId="8" hidden="1"/>
    <cellStyle name="Hyperlink" xfId="1896" builtinId="8" hidden="1"/>
    <cellStyle name="Hyperlink" xfId="1898" builtinId="8" hidden="1"/>
    <cellStyle name="Hyperlink" xfId="1900" builtinId="8" hidden="1"/>
    <cellStyle name="Hyperlink" xfId="1902" builtinId="8" hidden="1"/>
    <cellStyle name="Hyperlink" xfId="1904" builtinId="8" hidden="1"/>
    <cellStyle name="Hyperlink" xfId="1906" builtinId="8" hidden="1"/>
    <cellStyle name="Hyperlink" xfId="1908" builtinId="8" hidden="1"/>
    <cellStyle name="Hyperlink" xfId="1910" builtinId="8" hidden="1"/>
    <cellStyle name="Hyperlink" xfId="1912" builtinId="8" hidden="1"/>
    <cellStyle name="Hyperlink" xfId="1914" builtinId="8" hidden="1"/>
    <cellStyle name="Hyperlink" xfId="1916" builtinId="8" hidden="1"/>
    <cellStyle name="Hyperlink" xfId="1918" builtinId="8" hidden="1"/>
    <cellStyle name="Hyperlink" xfId="1920" builtinId="8" hidden="1"/>
    <cellStyle name="Hyperlink" xfId="1922" builtinId="8" hidden="1"/>
    <cellStyle name="Hyperlink" xfId="1924" builtinId="8" hidden="1"/>
    <cellStyle name="Hyperlink" xfId="1926" builtinId="8" hidden="1"/>
    <cellStyle name="Hyperlink" xfId="1928" builtinId="8" hidden="1"/>
    <cellStyle name="Hyperlink" xfId="1930" builtinId="8" hidden="1"/>
    <cellStyle name="Hyperlink" xfId="1932" builtinId="8" hidden="1"/>
    <cellStyle name="Hyperlink" xfId="1934" builtinId="8" hidden="1"/>
    <cellStyle name="Hyperlink" xfId="1936" builtinId="8" hidden="1"/>
    <cellStyle name="Hyperlink" xfId="1938" builtinId="8" hidden="1"/>
    <cellStyle name="Hyperlink" xfId="1940" builtinId="8" hidden="1"/>
    <cellStyle name="Hyperlink" xfId="1942" builtinId="8" hidden="1"/>
    <cellStyle name="Hyperlink" xfId="1944" builtinId="8" hidden="1"/>
    <cellStyle name="Hyperlink" xfId="1946" builtinId="8" hidden="1"/>
    <cellStyle name="Hyperlink" xfId="1948" builtinId="8" hidden="1"/>
    <cellStyle name="Hyperlink" xfId="1950" builtinId="8" hidden="1"/>
    <cellStyle name="Hyperlink" xfId="1952" builtinId="8" hidden="1"/>
    <cellStyle name="Hyperlink" xfId="1954" builtinId="8" hidden="1"/>
    <cellStyle name="Hyperlink" xfId="1956" builtinId="8" hidden="1"/>
    <cellStyle name="Hyperlink" xfId="1958" builtinId="8" hidden="1"/>
    <cellStyle name="Hyperlink" xfId="1960" builtinId="8" hidden="1"/>
    <cellStyle name="Hyperlink" xfId="1962" builtinId="8" hidden="1"/>
    <cellStyle name="Hyperlink" xfId="1964" builtinId="8" hidden="1"/>
    <cellStyle name="Hyperlink" xfId="1966" builtinId="8" hidden="1"/>
    <cellStyle name="Hyperlink" xfId="1968" builtinId="8" hidden="1"/>
    <cellStyle name="Hyperlink" xfId="1970" builtinId="8" hidden="1"/>
    <cellStyle name="Hyperlink" xfId="1972" builtinId="8" hidden="1"/>
    <cellStyle name="Hyperlink" xfId="1974" builtinId="8" hidden="1"/>
    <cellStyle name="Hyperlink" xfId="1976" builtinId="8" hidden="1"/>
    <cellStyle name="Hyperlink" xfId="1978" builtinId="8" hidden="1"/>
    <cellStyle name="Hyperlink" xfId="1980" builtinId="8" hidden="1"/>
    <cellStyle name="Hyperlink" xfId="1982" builtinId="8" hidden="1"/>
    <cellStyle name="Hyperlink" xfId="1984" builtinId="8" hidden="1"/>
    <cellStyle name="Hyperlink" xfId="1986" builtinId="8" hidden="1"/>
    <cellStyle name="Hyperlink" xfId="1988" builtinId="8" hidden="1"/>
    <cellStyle name="Hyperlink" xfId="1990" builtinId="8" hidden="1"/>
    <cellStyle name="Hyperlink" xfId="1992" builtinId="8" hidden="1"/>
    <cellStyle name="Hyperlink" xfId="1994" builtinId="8" hidden="1"/>
    <cellStyle name="Hyperlink" xfId="1996" builtinId="8" hidden="1"/>
    <cellStyle name="Hyperlink" xfId="1998" builtinId="8" hidden="1"/>
    <cellStyle name="Hyperlink" xfId="2000" builtinId="8" hidden="1"/>
    <cellStyle name="Hyperlink" xfId="2002" builtinId="8" hidden="1"/>
    <cellStyle name="Hyperlink" xfId="2004" builtinId="8" hidden="1"/>
    <cellStyle name="Hyperlink" xfId="2006" builtinId="8" hidden="1"/>
    <cellStyle name="Hyperlink" xfId="2008" builtinId="8" hidden="1"/>
    <cellStyle name="Hyperlink" xfId="2010" builtinId="8" hidden="1"/>
    <cellStyle name="Hyperlink" xfId="2012" builtinId="8" hidden="1"/>
    <cellStyle name="Hyperlink" xfId="2014" builtinId="8" hidden="1"/>
    <cellStyle name="Hyperlink" xfId="2016" builtinId="8" hidden="1"/>
    <cellStyle name="Hyperlink" xfId="2018" builtinId="8" hidden="1"/>
    <cellStyle name="Hyperlink" xfId="2020" builtinId="8" hidden="1"/>
    <cellStyle name="Hyperlink" xfId="2022" builtinId="8" hidden="1"/>
    <cellStyle name="Hyperlink" xfId="2024" builtinId="8" hidden="1"/>
    <cellStyle name="Hyperlink" xfId="2026" builtinId="8" hidden="1"/>
    <cellStyle name="Hyperlink" xfId="2028" builtinId="8" hidden="1"/>
    <cellStyle name="Hyperlink" xfId="2030" builtinId="8" hidden="1"/>
    <cellStyle name="Hyperlink" xfId="2032" builtinId="8" hidden="1"/>
    <cellStyle name="Hyperlink" xfId="2034" builtinId="8" hidden="1"/>
    <cellStyle name="Hyperlink" xfId="2036" builtinId="8" hidden="1"/>
    <cellStyle name="Hyperlink" xfId="2038" builtinId="8" hidden="1"/>
    <cellStyle name="Hyperlink" xfId="2040" builtinId="8" hidden="1"/>
    <cellStyle name="Hyperlink" xfId="2042" builtinId="8" hidden="1"/>
    <cellStyle name="Hyperlink" xfId="2044" builtinId="8" hidden="1"/>
    <cellStyle name="Hyperlink" xfId="2046" builtinId="8" hidden="1"/>
    <cellStyle name="Hyperlink" xfId="2048" builtinId="8" hidden="1"/>
    <cellStyle name="Hyperlink" xfId="2050" builtinId="8" hidden="1"/>
    <cellStyle name="Hyperlink" xfId="2052" builtinId="8" hidden="1"/>
    <cellStyle name="Hyperlink" xfId="2054" builtinId="8" hidden="1"/>
    <cellStyle name="Hyperlink" xfId="2056" builtinId="8" hidden="1"/>
    <cellStyle name="Hyperlink" xfId="2058" builtinId="8" hidden="1"/>
    <cellStyle name="Hyperlink" xfId="2060" builtinId="8" hidden="1"/>
    <cellStyle name="Hyperlink" xfId="2062" builtinId="8" hidden="1"/>
    <cellStyle name="Hyperlink" xfId="2064" builtinId="8" hidden="1"/>
    <cellStyle name="Hyperlink" xfId="2066" builtinId="8" hidden="1"/>
    <cellStyle name="Hyperlink" xfId="2068" builtinId="8" hidden="1"/>
    <cellStyle name="Hyperlink" xfId="2070" builtinId="8" hidden="1"/>
    <cellStyle name="Hyperlink" xfId="2072" builtinId="8" hidden="1"/>
    <cellStyle name="Hyperlink" xfId="2074" builtinId="8" hidden="1"/>
    <cellStyle name="Hyperlink" xfId="2076" builtinId="8" hidden="1"/>
    <cellStyle name="Hyperlink" xfId="2078" builtinId="8" hidden="1"/>
    <cellStyle name="Hyperlink" xfId="2080" builtinId="8" hidden="1"/>
    <cellStyle name="Hyperlink" xfId="2082" builtinId="8" hidden="1"/>
    <cellStyle name="Hyperlink" xfId="2084" builtinId="8" hidden="1"/>
    <cellStyle name="Hyperlink" xfId="2086" builtinId="8" hidden="1"/>
    <cellStyle name="Hyperlink" xfId="2088" builtinId="8" hidden="1"/>
    <cellStyle name="Hyperlink" xfId="2090" builtinId="8" hidden="1"/>
    <cellStyle name="Hyperlink" xfId="2092" builtinId="8" hidden="1"/>
    <cellStyle name="Hyperlink" xfId="2094" builtinId="8" hidden="1"/>
    <cellStyle name="Hyperlink" xfId="2096" builtinId="8" hidden="1"/>
    <cellStyle name="Hyperlink" xfId="2098" builtinId="8" hidden="1"/>
    <cellStyle name="Hyperlink" xfId="2100" builtinId="8" hidden="1"/>
    <cellStyle name="Hyperlink" xfId="2102" builtinId="8" hidden="1"/>
    <cellStyle name="Hyperlink" xfId="2104" builtinId="8" hidden="1"/>
    <cellStyle name="Hyperlink" xfId="2106" builtinId="8" hidden="1"/>
    <cellStyle name="Hyperlink" xfId="2108" builtinId="8" hidden="1"/>
    <cellStyle name="Hyperlink" xfId="2110" builtinId="8" hidden="1"/>
    <cellStyle name="Hyperlink" xfId="2807" builtinId="8" hidden="1"/>
    <cellStyle name="Hyperlink" xfId="2809" builtinId="8" hidden="1"/>
    <cellStyle name="Hyperlink" xfId="2811" builtinId="8" hidden="1"/>
    <cellStyle name="Hyperlink" xfId="2813" builtinId="8" hidden="1"/>
    <cellStyle name="Hyperlink" xfId="2815" builtinId="8" hidden="1"/>
    <cellStyle name="Hyperlink" xfId="2817" builtinId="8" hidden="1"/>
    <cellStyle name="Hyperlink" xfId="2819" builtinId="8" hidden="1"/>
    <cellStyle name="Hyperlink" xfId="2821" builtinId="8" hidden="1"/>
    <cellStyle name="Hyperlink" xfId="2823" builtinId="8" hidden="1"/>
    <cellStyle name="Hyperlink" xfId="2825" builtinId="8" hidden="1"/>
    <cellStyle name="Hyperlink" xfId="2827" builtinId="8" hidden="1"/>
    <cellStyle name="Hyperlink" xfId="2829" builtinId="8" hidden="1"/>
    <cellStyle name="Hyperlink" xfId="2831" builtinId="8" hidden="1"/>
    <cellStyle name="Hyperlink" xfId="2833" builtinId="8" hidden="1"/>
    <cellStyle name="Hyperlink" xfId="2835" builtinId="8" hidden="1"/>
    <cellStyle name="Hyperlink" xfId="2837" builtinId="8" hidden="1"/>
    <cellStyle name="Hyperlink" xfId="2839" builtinId="8" hidden="1"/>
    <cellStyle name="Hyperlink" xfId="2841" builtinId="8" hidden="1"/>
    <cellStyle name="Hyperlink" xfId="2843" builtinId="8" hidden="1"/>
    <cellStyle name="Hyperlink" xfId="2845" builtinId="8" hidden="1"/>
    <cellStyle name="Hyperlink" xfId="2847" builtinId="8" hidden="1"/>
    <cellStyle name="Hyperlink" xfId="2849" builtinId="8" hidden="1"/>
    <cellStyle name="Hyperlink" xfId="2851" builtinId="8" hidden="1"/>
    <cellStyle name="Hyperlink" xfId="2853" builtinId="8" hidden="1"/>
    <cellStyle name="Hyperlink" xfId="2855" builtinId="8" hidden="1"/>
    <cellStyle name="Hyperlink" xfId="2857" builtinId="8" hidden="1"/>
    <cellStyle name="Hyperlink" xfId="2859" builtinId="8" hidden="1"/>
    <cellStyle name="Hyperlink" xfId="2861" builtinId="8" hidden="1"/>
    <cellStyle name="Hyperlink" xfId="2863" builtinId="8" hidden="1"/>
    <cellStyle name="Hyperlink" xfId="2865" builtinId="8" hidden="1"/>
    <cellStyle name="Hyperlink" xfId="2867" builtinId="8" hidden="1"/>
    <cellStyle name="Hyperlink" xfId="2869" builtinId="8" hidden="1"/>
    <cellStyle name="Hyperlink" xfId="2871" builtinId="8" hidden="1"/>
    <cellStyle name="Hyperlink" xfId="2873" builtinId="8" hidden="1"/>
    <cellStyle name="Hyperlink" xfId="2875" builtinId="8" hidden="1"/>
    <cellStyle name="Hyperlink" xfId="2877" builtinId="8" hidden="1"/>
    <cellStyle name="Hyperlink" xfId="2879" builtinId="8" hidden="1"/>
    <cellStyle name="Hyperlink" xfId="2881" builtinId="8" hidden="1"/>
    <cellStyle name="Hyperlink" xfId="2883" builtinId="8" hidden="1"/>
    <cellStyle name="Hyperlink" xfId="2885" builtinId="8" hidden="1"/>
    <cellStyle name="Hyperlink" xfId="2887" builtinId="8" hidden="1"/>
    <cellStyle name="Hyperlink" xfId="2889" builtinId="8" hidden="1"/>
    <cellStyle name="Hyperlink" xfId="2891" builtinId="8" hidden="1"/>
    <cellStyle name="Hyperlink" xfId="2893" builtinId="8" hidden="1"/>
    <cellStyle name="Hyperlink" xfId="2895" builtinId="8" hidden="1"/>
    <cellStyle name="Hyperlink" xfId="2897" builtinId="8" hidden="1"/>
    <cellStyle name="Hyperlink" xfId="2899" builtinId="8" hidden="1"/>
    <cellStyle name="Hyperlink" xfId="2901" builtinId="8" hidden="1"/>
    <cellStyle name="Hyperlink" xfId="2904" builtinId="8"/>
    <cellStyle name="Normal" xfId="0" builtinId="0"/>
    <cellStyle name="Normal 2" xfId="2905" xr:uid="{E16BBEBA-76BA-4935-B00A-789785E2BD94}"/>
  </cellStyles>
  <dxfs count="0"/>
  <tableStyles count="0" defaultPivotStyle="PivotStyleMedium4"/>
  <colors>
    <indexedColors>
      <rgbColor rgb="FF000000"/>
      <rgbColor rgb="FFFFFFFF"/>
      <rgbColor rgb="FFFF0000"/>
      <rgbColor rgb="FF00FF00"/>
      <rgbColor rgb="FF0000FF"/>
      <rgbColor rgb="FFFFFF00"/>
      <rgbColor rgb="FFFF00FF"/>
      <rgbColor rgb="FF00FFFF"/>
      <rgbColor rgb="FF000000"/>
      <rgbColor rgb="FFAAAAAA"/>
      <rgbColor rgb="FFFFFF00"/>
      <rgbColor rgb="FF0000FF"/>
      <rgbColor rgb="FF92D050"/>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6"/>
  <sheetViews>
    <sheetView showGridLines="0" topLeftCell="B1" zoomScale="73" workbookViewId="0">
      <selection activeCell="C3" sqref="C3"/>
    </sheetView>
  </sheetViews>
  <sheetFormatPr defaultColWidth="13.265625" defaultRowHeight="14" x14ac:dyDescent="0.3"/>
  <cols>
    <col min="1" max="1" width="36.33203125" style="7" customWidth="1"/>
    <col min="2" max="2" width="35.59765625" style="7" customWidth="1"/>
    <col min="3" max="3" width="36.53125" style="7" customWidth="1"/>
    <col min="4" max="4" width="48.53125" style="7" customWidth="1"/>
    <col min="5" max="5" width="66.73046875" style="7" customWidth="1"/>
    <col min="6" max="6" width="18.86328125" style="7" customWidth="1"/>
    <col min="7" max="256" width="13.265625" style="7"/>
    <col min="257" max="16384" width="13.265625" style="8"/>
  </cols>
  <sheetData>
    <row r="1" spans="1:256" ht="30.5" thickBot="1" x14ac:dyDescent="0.35">
      <c r="A1" s="200" t="s">
        <v>21</v>
      </c>
      <c r="B1" s="201"/>
      <c r="C1" s="201"/>
      <c r="D1" s="201"/>
      <c r="E1" s="201"/>
      <c r="F1" s="201"/>
      <c r="G1" s="202"/>
    </row>
    <row r="2" spans="1:256" s="42" customFormat="1" ht="33" customHeight="1" thickBot="1" x14ac:dyDescent="0.4">
      <c r="A2" s="37" t="s">
        <v>0</v>
      </c>
      <c r="B2" s="38" t="s">
        <v>1</v>
      </c>
      <c r="C2" s="38" t="s">
        <v>2</v>
      </c>
      <c r="D2" s="38" t="s">
        <v>3</v>
      </c>
      <c r="E2" s="38" t="s">
        <v>4</v>
      </c>
      <c r="F2" s="39" t="s">
        <v>5</v>
      </c>
      <c r="G2" s="40" t="s">
        <v>6</v>
      </c>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c r="IR2" s="41"/>
      <c r="IS2" s="41"/>
      <c r="IT2" s="41"/>
      <c r="IU2" s="41"/>
      <c r="IV2" s="41"/>
    </row>
    <row r="3" spans="1:256" ht="191" customHeight="1" thickBot="1" x14ac:dyDescent="0.35">
      <c r="A3" s="34" t="s">
        <v>105</v>
      </c>
      <c r="B3" s="34" t="s">
        <v>106</v>
      </c>
      <c r="C3" s="34" t="s">
        <v>125</v>
      </c>
      <c r="D3" s="34" t="s">
        <v>107</v>
      </c>
      <c r="E3" s="36" t="s">
        <v>108</v>
      </c>
      <c r="F3" s="35" t="s">
        <v>124</v>
      </c>
      <c r="G3" s="9" t="s">
        <v>15</v>
      </c>
    </row>
    <row r="4" spans="1:256" ht="15" x14ac:dyDescent="0.3">
      <c r="D4"/>
      <c r="IV4" s="8"/>
    </row>
    <row r="5" spans="1:256" ht="15" x14ac:dyDescent="0.3">
      <c r="D5" s="33"/>
    </row>
    <row r="6" spans="1:256" ht="15" x14ac:dyDescent="0.3">
      <c r="D6" s="33"/>
    </row>
  </sheetData>
  <mergeCells count="1">
    <mergeCell ref="A1:G1"/>
  </mergeCells>
  <phoneticPr fontId="4" type="noConversion"/>
  <pageMargins left="0.75" right="0.75" top="1" bottom="1" header="0.5" footer="0.5"/>
  <pageSetup scale="34" fitToHeight="0" orientation="landscape" horizontalDpi="4294967292" verticalDpi="4294967292" r:id="rId1"/>
  <headerFooter>
    <oddFooter>&amp;L&amp;"Helvetica,Regular"&amp;12&amp;K000000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W35"/>
  <sheetViews>
    <sheetView showGridLines="0" topLeftCell="A3" zoomScale="66" workbookViewId="0">
      <selection activeCell="C9" sqref="C9"/>
    </sheetView>
  </sheetViews>
  <sheetFormatPr defaultColWidth="6.59765625" defaultRowHeight="15" customHeight="1" x14ac:dyDescent="0.3"/>
  <cols>
    <col min="1" max="1" width="4.6640625" style="13" bestFit="1" customWidth="1"/>
    <col min="2" max="2" width="10.6640625" style="13" customWidth="1"/>
    <col min="3" max="3" width="15.73046875" style="13" customWidth="1"/>
    <col min="4" max="4" width="15.86328125" style="13" customWidth="1"/>
    <col min="5" max="6" width="6.59765625" style="13" customWidth="1"/>
    <col min="7" max="7" width="20.6640625" style="13" customWidth="1"/>
    <col min="8" max="8" width="14.86328125" style="13" customWidth="1"/>
    <col min="9" max="9" width="6.59765625" style="13" customWidth="1"/>
    <col min="10" max="10" width="19.796875" style="13" customWidth="1"/>
    <col min="11" max="231" width="6.59765625" style="13" customWidth="1"/>
    <col min="232" max="16384" width="6.59765625" style="14"/>
  </cols>
  <sheetData>
    <row r="1" spans="1:15" ht="15" customHeight="1" x14ac:dyDescent="0.3">
      <c r="A1" s="206" t="s">
        <v>20</v>
      </c>
      <c r="B1" s="207"/>
      <c r="C1" s="207"/>
      <c r="D1" s="207"/>
      <c r="E1" s="207"/>
      <c r="F1" s="207"/>
      <c r="G1" s="207"/>
      <c r="H1" s="207"/>
      <c r="I1" s="207"/>
      <c r="J1" s="207"/>
      <c r="K1" s="207"/>
      <c r="L1" s="207"/>
      <c r="M1" s="207"/>
      <c r="N1" s="207"/>
      <c r="O1" s="207"/>
    </row>
    <row r="2" spans="1:15" ht="15" customHeight="1" x14ac:dyDescent="0.3">
      <c r="A2" s="203" t="s">
        <v>16</v>
      </c>
      <c r="B2" s="204"/>
      <c r="C2" s="204"/>
      <c r="D2" s="205"/>
    </row>
    <row r="3" spans="1:15" ht="15.75" customHeight="1" thickBot="1" x14ac:dyDescent="0.35">
      <c r="A3" s="10" t="s">
        <v>7</v>
      </c>
      <c r="B3" s="11" t="s">
        <v>8</v>
      </c>
      <c r="C3" s="142" t="s">
        <v>9</v>
      </c>
      <c r="D3" s="138" t="s">
        <v>19</v>
      </c>
    </row>
    <row r="4" spans="1:15" ht="17.5" customHeight="1" x14ac:dyDescent="0.35">
      <c r="A4" s="1">
        <v>1</v>
      </c>
      <c r="B4" s="21">
        <v>2025</v>
      </c>
      <c r="C4" s="144"/>
      <c r="D4" s="141"/>
    </row>
    <row r="5" spans="1:15" ht="17" customHeight="1" x14ac:dyDescent="0.35">
      <c r="A5" s="3">
        <v>2</v>
      </c>
      <c r="B5" s="21">
        <v>2026</v>
      </c>
      <c r="C5" s="144">
        <v>90000000</v>
      </c>
      <c r="D5" s="141">
        <f>C5/(1+0.03)^A5</f>
        <v>84833631.822037891</v>
      </c>
    </row>
    <row r="6" spans="1:15" ht="17" customHeight="1" x14ac:dyDescent="0.35">
      <c r="A6" s="3">
        <v>3</v>
      </c>
      <c r="B6" s="21">
        <v>2027</v>
      </c>
      <c r="C6" s="144">
        <v>160000000</v>
      </c>
      <c r="D6" s="141">
        <f>C6/(1+0.03)^A6</f>
        <v>146422665.49650553</v>
      </c>
    </row>
    <row r="7" spans="1:15" ht="17" customHeight="1" x14ac:dyDescent="0.35">
      <c r="A7" s="3">
        <v>4</v>
      </c>
      <c r="B7" s="21">
        <v>2028</v>
      </c>
      <c r="C7" s="144">
        <v>255000000</v>
      </c>
      <c r="D7" s="141">
        <f t="shared" ref="D7:D8" si="0">C7/(1+0.03)^A7</f>
        <v>226564197.21850067</v>
      </c>
    </row>
    <row r="8" spans="1:15" ht="17" customHeight="1" x14ac:dyDescent="0.35">
      <c r="A8" s="3">
        <v>5</v>
      </c>
      <c r="B8" s="21">
        <v>2029</v>
      </c>
      <c r="C8" s="143">
        <v>255000000</v>
      </c>
      <c r="D8" s="139">
        <f t="shared" si="0"/>
        <v>219965240.01796186</v>
      </c>
      <c r="G8" s="15"/>
    </row>
    <row r="9" spans="1:15" ht="17" customHeight="1" x14ac:dyDescent="0.35">
      <c r="A9" s="3">
        <v>6</v>
      </c>
      <c r="B9" s="21">
        <v>2030</v>
      </c>
      <c r="C9" s="2"/>
      <c r="D9" s="139"/>
    </row>
    <row r="10" spans="1:15" ht="17" customHeight="1" x14ac:dyDescent="0.35">
      <c r="A10" s="3">
        <v>7</v>
      </c>
      <c r="B10" s="21">
        <v>2031</v>
      </c>
      <c r="C10" s="2"/>
      <c r="D10" s="139"/>
    </row>
    <row r="11" spans="1:15" ht="17" customHeight="1" x14ac:dyDescent="0.35">
      <c r="A11" s="3">
        <v>8</v>
      </c>
      <c r="B11" s="21">
        <v>2032</v>
      </c>
      <c r="C11" s="2"/>
      <c r="D11" s="139"/>
      <c r="H11" s="56"/>
    </row>
    <row r="12" spans="1:15" ht="17" customHeight="1" x14ac:dyDescent="0.35">
      <c r="A12" s="3">
        <v>9</v>
      </c>
      <c r="B12" s="21">
        <v>2033</v>
      </c>
      <c r="C12" s="2"/>
      <c r="D12" s="139"/>
      <c r="H12" s="17"/>
    </row>
    <row r="13" spans="1:15" ht="17" customHeight="1" x14ac:dyDescent="0.35">
      <c r="A13" s="3">
        <v>10</v>
      </c>
      <c r="B13" s="21">
        <v>2034</v>
      </c>
      <c r="C13" s="2"/>
      <c r="D13" s="139"/>
    </row>
    <row r="14" spans="1:15" ht="17" customHeight="1" x14ac:dyDescent="0.35">
      <c r="A14" s="3">
        <v>11</v>
      </c>
      <c r="B14" s="21">
        <v>2035</v>
      </c>
      <c r="C14" s="2"/>
      <c r="D14" s="139"/>
    </row>
    <row r="15" spans="1:15" ht="17" customHeight="1" x14ac:dyDescent="0.35">
      <c r="A15" s="3">
        <v>12</v>
      </c>
      <c r="B15" s="21">
        <v>2036</v>
      </c>
      <c r="C15" s="2"/>
      <c r="D15" s="139"/>
    </row>
    <row r="16" spans="1:15" ht="17" customHeight="1" x14ac:dyDescent="0.35">
      <c r="A16" s="3">
        <v>13</v>
      </c>
      <c r="B16" s="21">
        <v>2037</v>
      </c>
      <c r="C16" s="2"/>
      <c r="D16" s="139"/>
    </row>
    <row r="17" spans="1:10" ht="17" customHeight="1" x14ac:dyDescent="0.35">
      <c r="A17" s="3">
        <v>14</v>
      </c>
      <c r="B17" s="21">
        <v>2038</v>
      </c>
      <c r="C17" s="2"/>
      <c r="D17" s="139"/>
    </row>
    <row r="18" spans="1:10" ht="17" customHeight="1" x14ac:dyDescent="0.35">
      <c r="A18" s="3">
        <v>15</v>
      </c>
      <c r="B18" s="21">
        <v>2039</v>
      </c>
      <c r="C18" s="2"/>
      <c r="D18" s="139"/>
    </row>
    <row r="19" spans="1:10" ht="17" customHeight="1" x14ac:dyDescent="0.35">
      <c r="A19" s="3">
        <v>16</v>
      </c>
      <c r="B19" s="21">
        <v>2040</v>
      </c>
      <c r="C19" s="2"/>
      <c r="D19" s="139"/>
    </row>
    <row r="20" spans="1:10" ht="17" customHeight="1" x14ac:dyDescent="0.35">
      <c r="A20" s="3">
        <v>17</v>
      </c>
      <c r="B20" s="21">
        <v>2041</v>
      </c>
      <c r="C20" s="2"/>
      <c r="D20" s="139"/>
    </row>
    <row r="21" spans="1:10" ht="17" customHeight="1" x14ac:dyDescent="0.35">
      <c r="A21" s="3">
        <v>18</v>
      </c>
      <c r="B21" s="21">
        <v>2042</v>
      </c>
      <c r="C21" s="2"/>
      <c r="D21" s="139"/>
    </row>
    <row r="22" spans="1:10" ht="17" customHeight="1" x14ac:dyDescent="0.35">
      <c r="A22" s="3">
        <v>19</v>
      </c>
      <c r="B22" s="21">
        <v>2043</v>
      </c>
      <c r="C22" s="2"/>
      <c r="D22" s="139"/>
    </row>
    <row r="23" spans="1:10" ht="17" customHeight="1" x14ac:dyDescent="0.35">
      <c r="A23" s="57">
        <v>20</v>
      </c>
      <c r="B23" s="21">
        <v>2044</v>
      </c>
      <c r="C23" s="58"/>
      <c r="D23" s="139"/>
    </row>
    <row r="24" spans="1:10" ht="17" customHeight="1" x14ac:dyDescent="0.35">
      <c r="A24" s="57">
        <v>21</v>
      </c>
      <c r="B24" s="21">
        <v>2045</v>
      </c>
      <c r="C24" s="58"/>
      <c r="D24" s="139"/>
    </row>
    <row r="25" spans="1:10" ht="17" customHeight="1" x14ac:dyDescent="0.35">
      <c r="A25" s="57">
        <v>22</v>
      </c>
      <c r="B25" s="21">
        <v>2046</v>
      </c>
      <c r="C25" s="58"/>
      <c r="D25" s="139"/>
      <c r="J25" s="145"/>
    </row>
    <row r="26" spans="1:10" ht="17" customHeight="1" x14ac:dyDescent="0.35">
      <c r="A26" s="57">
        <v>23</v>
      </c>
      <c r="B26" s="21">
        <v>2047</v>
      </c>
      <c r="C26" s="58"/>
      <c r="D26" s="139"/>
    </row>
    <row r="27" spans="1:10" ht="17" customHeight="1" x14ac:dyDescent="0.35">
      <c r="A27" s="57">
        <v>24</v>
      </c>
      <c r="B27" s="21">
        <v>2049</v>
      </c>
      <c r="C27" s="58"/>
      <c r="D27" s="139"/>
    </row>
    <row r="28" spans="1:10" ht="17" customHeight="1" x14ac:dyDescent="0.35">
      <c r="A28" s="57">
        <v>25</v>
      </c>
      <c r="B28" s="21">
        <v>2050</v>
      </c>
      <c r="C28" s="58"/>
      <c r="D28" s="139"/>
    </row>
    <row r="29" spans="1:10" ht="17" customHeight="1" x14ac:dyDescent="0.35">
      <c r="A29" s="57">
        <v>26</v>
      </c>
      <c r="B29" s="21">
        <v>2051</v>
      </c>
      <c r="C29" s="58"/>
      <c r="D29" s="139"/>
    </row>
    <row r="30" spans="1:10" ht="17" customHeight="1" x14ac:dyDescent="0.35">
      <c r="A30" s="57">
        <v>27</v>
      </c>
      <c r="B30" s="21">
        <v>2052</v>
      </c>
      <c r="C30" s="58"/>
      <c r="D30" s="139"/>
    </row>
    <row r="31" spans="1:10" ht="17" customHeight="1" x14ac:dyDescent="0.35">
      <c r="A31" s="57">
        <v>28</v>
      </c>
      <c r="B31" s="21">
        <v>2053</v>
      </c>
      <c r="C31" s="58"/>
      <c r="D31" s="139"/>
    </row>
    <row r="32" spans="1:10" ht="17" customHeight="1" x14ac:dyDescent="0.35">
      <c r="A32" s="57">
        <v>29</v>
      </c>
      <c r="B32" s="21">
        <v>2054</v>
      </c>
      <c r="C32" s="58"/>
      <c r="D32" s="139"/>
    </row>
    <row r="33" spans="1:4" ht="17" customHeight="1" thickBot="1" x14ac:dyDescent="0.4">
      <c r="A33" s="4">
        <v>30</v>
      </c>
      <c r="B33" s="21">
        <v>2055</v>
      </c>
      <c r="C33" s="55"/>
      <c r="D33" s="139"/>
    </row>
    <row r="34" spans="1:4" ht="15.75" customHeight="1" thickBot="1" x14ac:dyDescent="0.4">
      <c r="A34" s="4"/>
      <c r="B34" s="5"/>
      <c r="C34" s="6"/>
      <c r="D34" s="140">
        <f>SUM(D4:D33)</f>
        <v>677785734.55500603</v>
      </c>
    </row>
    <row r="35" spans="1:4" ht="15" customHeight="1" x14ac:dyDescent="0.35">
      <c r="A35" s="5"/>
    </row>
  </sheetData>
  <mergeCells count="2">
    <mergeCell ref="A2:D2"/>
    <mergeCell ref="A1:O1"/>
  </mergeCells>
  <phoneticPr fontId="4" type="noConversion"/>
  <pageMargins left="0.75" right="0.75" top="1" bottom="1" header="0.5" footer="0.5"/>
  <pageSetup scale="47" orientation="portrait" horizontalDpi="4294967292" verticalDpi="4294967292" r:id="rId1"/>
  <headerFooter>
    <oddFooter>&amp;L&amp;"Helvetica,Regular"&amp;12&amp;K000000	&amp;P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Z155"/>
  <sheetViews>
    <sheetView showGridLines="0" zoomScale="65" zoomScaleNormal="80" zoomScalePageLayoutView="90" workbookViewId="0">
      <selection activeCell="A2" sqref="A2:AC2"/>
    </sheetView>
  </sheetViews>
  <sheetFormatPr defaultColWidth="6.59765625" defaultRowHeight="14" x14ac:dyDescent="0.3"/>
  <cols>
    <col min="1" max="1" width="6.73046875" style="7" bestFit="1" customWidth="1"/>
    <col min="2" max="2" width="8.3984375" style="7" bestFit="1" customWidth="1"/>
    <col min="3" max="3" width="9.53125" style="71" customWidth="1"/>
    <col min="4" max="7" width="9" style="71" customWidth="1"/>
    <col min="8" max="9" width="9" style="7" customWidth="1"/>
    <col min="10" max="10" width="14" style="61" customWidth="1"/>
    <col min="11" max="11" width="14" style="67" customWidth="1"/>
    <col min="12" max="12" width="14" style="70" customWidth="1"/>
    <col min="13" max="13" width="12.53125" style="70" customWidth="1"/>
    <col min="14" max="14" width="14.06640625" style="7" customWidth="1"/>
    <col min="15" max="15" width="16.33203125" style="7" customWidth="1"/>
    <col min="16" max="16" width="9.53125" style="70" customWidth="1"/>
    <col min="17" max="17" width="12.53125" style="70" customWidth="1"/>
    <col min="18" max="18" width="13.265625" style="70" customWidth="1"/>
    <col min="19" max="19" width="10.59765625" style="70" customWidth="1"/>
    <col min="20" max="20" width="14.9296875" style="70" customWidth="1"/>
    <col min="21" max="22" width="14.9296875" style="76" customWidth="1"/>
    <col min="23" max="25" width="13.9296875" style="7" customWidth="1"/>
    <col min="26" max="26" width="17" style="7" customWidth="1"/>
    <col min="27" max="27" width="11.33203125" style="7" customWidth="1"/>
    <col min="28" max="28" width="13.73046875" style="7" bestFit="1" customWidth="1"/>
    <col min="29" max="29" width="13.73046875" style="7" customWidth="1"/>
    <col min="30" max="30" width="11" style="7" customWidth="1"/>
    <col min="31" max="31" width="17.86328125" style="7" customWidth="1"/>
    <col min="32" max="32" width="7.9296875" style="7" customWidth="1"/>
    <col min="33" max="260" width="6.59765625" style="7" customWidth="1"/>
    <col min="261" max="16384" width="6.59765625" style="8"/>
  </cols>
  <sheetData>
    <row r="1" spans="1:260" ht="35" customHeight="1" x14ac:dyDescent="0.3">
      <c r="A1" s="206" t="s">
        <v>22</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row>
    <row r="2" spans="1:260" ht="30" customHeight="1" x14ac:dyDescent="0.3">
      <c r="A2" s="208" t="s">
        <v>46</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row>
    <row r="3" spans="1:260" ht="219" customHeight="1" thickBot="1" x14ac:dyDescent="0.4">
      <c r="A3" s="129" t="s">
        <v>7</v>
      </c>
      <c r="B3" s="129" t="s">
        <v>8</v>
      </c>
      <c r="C3" s="129" t="s">
        <v>103</v>
      </c>
      <c r="D3" s="129" t="s">
        <v>104</v>
      </c>
      <c r="E3" s="129" t="s">
        <v>59</v>
      </c>
      <c r="F3" s="129" t="s">
        <v>47</v>
      </c>
      <c r="G3" s="129" t="s">
        <v>84</v>
      </c>
      <c r="H3" s="129" t="s">
        <v>26</v>
      </c>
      <c r="I3" s="129" t="s">
        <v>86</v>
      </c>
      <c r="J3" s="130" t="s">
        <v>24</v>
      </c>
      <c r="K3" s="131" t="s">
        <v>27</v>
      </c>
      <c r="L3" s="132" t="s">
        <v>92</v>
      </c>
      <c r="M3" s="132" t="s">
        <v>25</v>
      </c>
      <c r="N3" s="129" t="s">
        <v>29</v>
      </c>
      <c r="O3" s="129" t="s">
        <v>87</v>
      </c>
      <c r="P3" s="133" t="s">
        <v>55</v>
      </c>
      <c r="Q3" s="132" t="s">
        <v>30</v>
      </c>
      <c r="R3" s="132" t="s">
        <v>88</v>
      </c>
      <c r="S3" s="132" t="s">
        <v>31</v>
      </c>
      <c r="T3" s="132" t="s">
        <v>32</v>
      </c>
      <c r="U3" s="129" t="s">
        <v>35</v>
      </c>
      <c r="V3" s="129" t="s">
        <v>89</v>
      </c>
      <c r="W3" s="134" t="s">
        <v>23</v>
      </c>
      <c r="X3" s="132" t="s">
        <v>33</v>
      </c>
      <c r="Y3" s="132" t="s">
        <v>94</v>
      </c>
      <c r="Z3" s="132" t="s">
        <v>34</v>
      </c>
      <c r="AA3" s="135" t="s">
        <v>56</v>
      </c>
      <c r="AB3" s="135" t="s">
        <v>19</v>
      </c>
      <c r="AC3" s="43" t="s">
        <v>18</v>
      </c>
      <c r="IX3" s="8"/>
      <c r="IY3" s="8"/>
      <c r="IZ3" s="8"/>
    </row>
    <row r="4" spans="1:260" ht="15.5" x14ac:dyDescent="0.35">
      <c r="A4" s="1">
        <v>1</v>
      </c>
      <c r="B4" s="21">
        <v>2025</v>
      </c>
      <c r="C4" s="123"/>
      <c r="D4" s="123"/>
      <c r="E4" s="136"/>
      <c r="F4" s="123"/>
      <c r="G4" s="123"/>
      <c r="H4" s="12"/>
      <c r="I4" s="12"/>
      <c r="J4" s="68"/>
      <c r="K4" s="65"/>
      <c r="L4" s="68"/>
      <c r="M4" s="68"/>
      <c r="N4" s="73"/>
      <c r="O4" s="73"/>
      <c r="P4" s="68"/>
      <c r="Q4" s="68"/>
      <c r="R4" s="68"/>
      <c r="S4" s="68"/>
      <c r="T4" s="68"/>
      <c r="U4" s="74"/>
      <c r="V4" s="74"/>
      <c r="W4" s="22"/>
      <c r="X4" s="22"/>
      <c r="Y4" s="22"/>
      <c r="Z4" s="22"/>
      <c r="AA4" s="25"/>
      <c r="AB4" s="23"/>
      <c r="AC4" s="44"/>
      <c r="IX4" s="8"/>
      <c r="IY4" s="8"/>
      <c r="IZ4" s="8"/>
    </row>
    <row r="5" spans="1:260" ht="15.5" x14ac:dyDescent="0.35">
      <c r="A5" s="3">
        <v>2</v>
      </c>
      <c r="B5" s="21">
        <v>2026</v>
      </c>
      <c r="C5" s="123"/>
      <c r="D5" s="123"/>
      <c r="E5" s="136"/>
      <c r="F5" s="123"/>
      <c r="G5" s="123"/>
      <c r="H5" s="12"/>
      <c r="I5" s="12"/>
      <c r="J5" s="68"/>
      <c r="K5" s="65"/>
      <c r="L5" s="68"/>
      <c r="M5" s="68"/>
      <c r="N5" s="73"/>
      <c r="O5" s="73"/>
      <c r="P5" s="68"/>
      <c r="Q5" s="68"/>
      <c r="R5" s="68"/>
      <c r="S5" s="68"/>
      <c r="T5" s="68"/>
      <c r="U5" s="74"/>
      <c r="V5" s="74"/>
      <c r="W5" s="24"/>
      <c r="X5" s="32"/>
      <c r="Y5" s="32"/>
      <c r="Z5" s="22"/>
      <c r="AA5" s="25"/>
      <c r="AB5" s="23"/>
      <c r="AC5" s="44"/>
      <c r="IX5" s="8"/>
      <c r="IY5" s="8"/>
      <c r="IZ5" s="8"/>
    </row>
    <row r="6" spans="1:260" ht="15.5" x14ac:dyDescent="0.35">
      <c r="A6" s="3">
        <v>3</v>
      </c>
      <c r="B6" s="21">
        <v>2027</v>
      </c>
      <c r="C6" s="120"/>
      <c r="D6" s="120"/>
      <c r="E6" s="136"/>
      <c r="F6" s="120"/>
      <c r="G6" s="120"/>
      <c r="H6" s="20"/>
      <c r="I6" s="20"/>
      <c r="J6" s="68"/>
      <c r="K6" s="65"/>
      <c r="L6" s="68"/>
      <c r="M6" s="68"/>
      <c r="N6" s="73"/>
      <c r="O6" s="73"/>
      <c r="P6" s="68"/>
      <c r="Q6" s="68"/>
      <c r="R6" s="68"/>
      <c r="S6" s="68"/>
      <c r="T6" s="68"/>
      <c r="U6" s="74"/>
      <c r="V6" s="74"/>
      <c r="W6" s="24"/>
      <c r="X6" s="32"/>
      <c r="Y6" s="32"/>
      <c r="Z6" s="24"/>
      <c r="AA6" s="25"/>
      <c r="AB6" s="24"/>
      <c r="AC6" s="45"/>
      <c r="IX6" s="8"/>
      <c r="IY6" s="8"/>
      <c r="IZ6" s="8"/>
    </row>
    <row r="7" spans="1:260" ht="15.5" x14ac:dyDescent="0.35">
      <c r="A7" s="3">
        <v>4</v>
      </c>
      <c r="B7" s="21">
        <v>2028</v>
      </c>
      <c r="C7" s="120"/>
      <c r="D7" s="120"/>
      <c r="E7" s="136"/>
      <c r="F7" s="120"/>
      <c r="G7" s="120"/>
      <c r="H7" s="20"/>
      <c r="I7" s="20"/>
      <c r="J7" s="68"/>
      <c r="K7" s="65"/>
      <c r="L7" s="68"/>
      <c r="M7" s="68"/>
      <c r="N7" s="73"/>
      <c r="O7" s="73"/>
      <c r="P7" s="68"/>
      <c r="Q7" s="68"/>
      <c r="R7" s="68"/>
      <c r="S7" s="68"/>
      <c r="T7" s="68"/>
      <c r="U7" s="74"/>
      <c r="V7" s="74"/>
      <c r="W7" s="24"/>
      <c r="X7" s="32"/>
      <c r="Y7" s="32"/>
      <c r="Z7" s="24"/>
      <c r="AA7" s="25"/>
      <c r="AB7" s="24"/>
      <c r="AC7" s="45"/>
      <c r="IX7" s="8"/>
      <c r="IY7" s="8"/>
      <c r="IZ7" s="8"/>
    </row>
    <row r="8" spans="1:260" ht="15.5" x14ac:dyDescent="0.35">
      <c r="A8" s="121">
        <v>5</v>
      </c>
      <c r="B8" s="122">
        <v>2029</v>
      </c>
      <c r="C8" s="120"/>
      <c r="D8" s="120"/>
      <c r="E8" s="136"/>
      <c r="F8" s="120"/>
      <c r="G8" s="120"/>
      <c r="H8" s="20"/>
      <c r="I8" s="20"/>
      <c r="J8" s="68"/>
      <c r="K8" s="68"/>
      <c r="L8" s="68"/>
      <c r="M8" s="68"/>
      <c r="N8" s="73"/>
      <c r="O8" s="73"/>
      <c r="P8" s="68"/>
      <c r="Q8" s="68"/>
      <c r="R8" s="68"/>
      <c r="S8" s="68"/>
      <c r="T8" s="68"/>
      <c r="U8" s="74"/>
      <c r="V8" s="74"/>
      <c r="W8" s="24"/>
      <c r="X8" s="24"/>
      <c r="Y8" s="24"/>
      <c r="Z8" s="24"/>
      <c r="AA8" s="25"/>
      <c r="AB8" s="24"/>
      <c r="AC8" s="45"/>
      <c r="IX8" s="8"/>
      <c r="IY8" s="8"/>
      <c r="IZ8" s="8"/>
    </row>
    <row r="9" spans="1:260" ht="15.5" x14ac:dyDescent="0.35">
      <c r="A9" s="149">
        <v>6</v>
      </c>
      <c r="B9" s="150">
        <v>2030</v>
      </c>
      <c r="C9" s="120">
        <f>E9*3</f>
        <v>45</v>
      </c>
      <c r="D9" s="120">
        <f>E9*3</f>
        <v>45</v>
      </c>
      <c r="E9" s="136">
        <v>15</v>
      </c>
      <c r="F9" s="120">
        <v>173</v>
      </c>
      <c r="G9" s="120">
        <v>43</v>
      </c>
      <c r="H9" s="20">
        <v>1.73E-4</v>
      </c>
      <c r="I9" s="20">
        <v>9.7E-5</v>
      </c>
      <c r="J9" s="68">
        <v>1069000</v>
      </c>
      <c r="K9" s="68">
        <f t="shared" ref="K9:K28" si="0">(C9*F9)*H9*J9</f>
        <v>1439734.5449999999</v>
      </c>
      <c r="L9" s="68">
        <f t="shared" ref="L9:L28" si="1">(D9*G9)*I9*J9</f>
        <v>200645.95499999999</v>
      </c>
      <c r="M9" s="68">
        <f t="shared" ref="M9:M28" si="2">K9+L9</f>
        <v>1640380.5</v>
      </c>
      <c r="N9" s="73">
        <v>1.325E-3</v>
      </c>
      <c r="O9" s="73">
        <v>1.005E-3</v>
      </c>
      <c r="P9" s="68">
        <v>257</v>
      </c>
      <c r="Q9" s="68">
        <f t="shared" ref="Q9:Q28" si="3">(C9*F9)*N9*P9</f>
        <v>2650.9871250000001</v>
      </c>
      <c r="R9" s="68">
        <f t="shared" ref="R9:R28" si="4">(D9*G9)*O9*P9</f>
        <v>499.78147500000006</v>
      </c>
      <c r="S9" s="68">
        <f t="shared" ref="S9:S28" si="5">Q9+R9</f>
        <v>3150.7686000000003</v>
      </c>
      <c r="T9" s="68">
        <f t="shared" ref="T9:T28" si="6">S9/(1+0.02)^A9</f>
        <v>2797.7923486908535</v>
      </c>
      <c r="U9" s="74">
        <v>1.4123999999999999E-2</v>
      </c>
      <c r="V9" s="74">
        <v>9.4500000000000001E-3</v>
      </c>
      <c r="W9" s="24">
        <v>22000</v>
      </c>
      <c r="X9" s="24">
        <f>(C9*F9)*U9*W9</f>
        <v>2419017.48</v>
      </c>
      <c r="Y9" s="24">
        <f t="shared" ref="Y9:Y28" si="7">(D9*G9)*V9*W9</f>
        <v>402286.5</v>
      </c>
      <c r="Z9" s="24">
        <f t="shared" ref="Z9:Z28" si="8">X9+Y9</f>
        <v>2821303.98</v>
      </c>
      <c r="AA9" s="25">
        <f t="shared" ref="AA9:AA28" si="9">M9+Z9</f>
        <v>4461684.4800000004</v>
      </c>
      <c r="AB9" s="24">
        <f t="shared" ref="AB9:AB28" si="10">AA9/(1+0.03)^A9</f>
        <v>3736590.5102897976</v>
      </c>
      <c r="AC9" s="45">
        <f t="shared" ref="AC9:AC28" si="11">T9+AB9</f>
        <v>3739388.3026384884</v>
      </c>
      <c r="IX9" s="8"/>
      <c r="IY9" s="8"/>
      <c r="IZ9" s="8"/>
    </row>
    <row r="10" spans="1:260" ht="15.5" x14ac:dyDescent="0.35">
      <c r="A10" s="3">
        <v>7</v>
      </c>
      <c r="B10" s="21">
        <v>2031</v>
      </c>
      <c r="C10" s="120">
        <f t="shared" ref="C10:C21" si="12">E10*3</f>
        <v>48</v>
      </c>
      <c r="D10" s="120">
        <f t="shared" ref="D10:D21" si="13">E10*3</f>
        <v>48</v>
      </c>
      <c r="E10" s="136">
        <f>E9+1</f>
        <v>16</v>
      </c>
      <c r="F10" s="120">
        <v>173</v>
      </c>
      <c r="G10" s="120">
        <v>43</v>
      </c>
      <c r="H10" s="20">
        <v>1.73E-4</v>
      </c>
      <c r="I10" s="20">
        <v>9.7E-5</v>
      </c>
      <c r="J10" s="68">
        <v>1069000</v>
      </c>
      <c r="K10" s="68">
        <f t="shared" si="0"/>
        <v>1535716.848</v>
      </c>
      <c r="L10" s="68">
        <f t="shared" si="1"/>
        <v>214022.35199999998</v>
      </c>
      <c r="M10" s="68">
        <f t="shared" si="2"/>
        <v>1749739.2</v>
      </c>
      <c r="N10" s="73">
        <v>1.325E-3</v>
      </c>
      <c r="O10" s="73">
        <v>1.005E-3</v>
      </c>
      <c r="P10" s="68">
        <v>262</v>
      </c>
      <c r="Q10" s="68">
        <f t="shared" si="3"/>
        <v>2882.7336</v>
      </c>
      <c r="R10" s="68">
        <f t="shared" si="4"/>
        <v>543.47184000000004</v>
      </c>
      <c r="S10" s="68">
        <f t="shared" si="5"/>
        <v>3426.2054400000002</v>
      </c>
      <c r="T10" s="68">
        <f t="shared" si="6"/>
        <v>2982.7180198143637</v>
      </c>
      <c r="U10" s="74">
        <v>1.4123999999999999E-2</v>
      </c>
      <c r="V10" s="74">
        <v>9.4500000000000001E-3</v>
      </c>
      <c r="W10" s="24">
        <v>22000</v>
      </c>
      <c r="X10" s="24">
        <f t="shared" ref="X10:X28" si="14">(C10*F10)*U10*W10</f>
        <v>2580285.3119999999</v>
      </c>
      <c r="Y10" s="24">
        <f t="shared" si="7"/>
        <v>429105.6</v>
      </c>
      <c r="Z10" s="24">
        <f t="shared" si="8"/>
        <v>3009390.912</v>
      </c>
      <c r="AA10" s="25">
        <f t="shared" si="9"/>
        <v>4759130.1119999997</v>
      </c>
      <c r="AB10" s="24">
        <f t="shared" si="10"/>
        <v>3869608.2954457444</v>
      </c>
      <c r="AC10" s="45">
        <f t="shared" si="11"/>
        <v>3872591.0134655586</v>
      </c>
      <c r="IX10" s="8"/>
      <c r="IY10" s="8"/>
      <c r="IZ10" s="8"/>
    </row>
    <row r="11" spans="1:260" ht="15.5" x14ac:dyDescent="0.35">
      <c r="A11" s="3">
        <v>8</v>
      </c>
      <c r="B11" s="21">
        <v>2032</v>
      </c>
      <c r="C11" s="120">
        <f t="shared" si="12"/>
        <v>51</v>
      </c>
      <c r="D11" s="120">
        <f t="shared" si="13"/>
        <v>51</v>
      </c>
      <c r="E11" s="136">
        <f t="shared" ref="E11:E25" si="15">E10+1</f>
        <v>17</v>
      </c>
      <c r="F11" s="120">
        <v>173</v>
      </c>
      <c r="G11" s="120">
        <v>43</v>
      </c>
      <c r="H11" s="20">
        <v>1.73E-4</v>
      </c>
      <c r="I11" s="20">
        <v>9.7E-5</v>
      </c>
      <c r="J11" s="68">
        <v>1069000</v>
      </c>
      <c r="K11" s="68">
        <f t="shared" si="0"/>
        <v>1631699.1509999998</v>
      </c>
      <c r="L11" s="68">
        <f t="shared" si="1"/>
        <v>227398.74899999998</v>
      </c>
      <c r="M11" s="68">
        <f t="shared" si="2"/>
        <v>1859097.9</v>
      </c>
      <c r="N11" s="73">
        <v>1.325E-3</v>
      </c>
      <c r="O11" s="73">
        <v>1.005E-3</v>
      </c>
      <c r="P11" s="68">
        <v>265</v>
      </c>
      <c r="Q11" s="68">
        <f t="shared" si="3"/>
        <v>3097.9758749999996</v>
      </c>
      <c r="R11" s="68">
        <f t="shared" si="4"/>
        <v>584.05072500000006</v>
      </c>
      <c r="S11" s="68">
        <f t="shared" si="5"/>
        <v>3682.0265999999997</v>
      </c>
      <c r="T11" s="68">
        <f t="shared" si="6"/>
        <v>3142.5742495658642</v>
      </c>
      <c r="U11" s="74">
        <v>1.4123999999999999E-2</v>
      </c>
      <c r="V11" s="74">
        <v>9.4500000000000001E-3</v>
      </c>
      <c r="W11" s="24">
        <v>22000</v>
      </c>
      <c r="X11" s="24">
        <f t="shared" si="14"/>
        <v>2741553.1439999999</v>
      </c>
      <c r="Y11" s="24">
        <f t="shared" si="7"/>
        <v>455924.69999999995</v>
      </c>
      <c r="Z11" s="24">
        <f t="shared" si="8"/>
        <v>3197477.8439999996</v>
      </c>
      <c r="AA11" s="25">
        <f t="shared" si="9"/>
        <v>5056575.743999999</v>
      </c>
      <c r="AB11" s="24">
        <f t="shared" si="10"/>
        <v>3991707.5863214592</v>
      </c>
      <c r="AC11" s="45">
        <f t="shared" si="11"/>
        <v>3994850.1605710252</v>
      </c>
      <c r="IX11" s="8"/>
      <c r="IY11" s="8"/>
      <c r="IZ11" s="8"/>
    </row>
    <row r="12" spans="1:260" ht="15.5" x14ac:dyDescent="0.35">
      <c r="A12" s="3">
        <v>9</v>
      </c>
      <c r="B12" s="21">
        <v>2033</v>
      </c>
      <c r="C12" s="120">
        <f t="shared" si="12"/>
        <v>54</v>
      </c>
      <c r="D12" s="120">
        <f t="shared" si="13"/>
        <v>54</v>
      </c>
      <c r="E12" s="136">
        <f t="shared" si="15"/>
        <v>18</v>
      </c>
      <c r="F12" s="120">
        <v>173</v>
      </c>
      <c r="G12" s="120">
        <v>43</v>
      </c>
      <c r="H12" s="20">
        <v>1.73E-4</v>
      </c>
      <c r="I12" s="20">
        <v>9.7E-5</v>
      </c>
      <c r="J12" s="68">
        <v>1069000</v>
      </c>
      <c r="K12" s="68">
        <f t="shared" si="0"/>
        <v>1727681.4539999999</v>
      </c>
      <c r="L12" s="68">
        <f t="shared" si="1"/>
        <v>240775.14599999998</v>
      </c>
      <c r="M12" s="68">
        <f t="shared" si="2"/>
        <v>1968456.5999999999</v>
      </c>
      <c r="N12" s="73">
        <v>1.325E-3</v>
      </c>
      <c r="O12" s="73">
        <v>1.005E-3</v>
      </c>
      <c r="P12" s="68">
        <v>270</v>
      </c>
      <c r="Q12" s="68">
        <f t="shared" si="3"/>
        <v>3342.1005</v>
      </c>
      <c r="R12" s="68">
        <f t="shared" si="4"/>
        <v>630.07470000000001</v>
      </c>
      <c r="S12" s="68">
        <f t="shared" si="5"/>
        <v>3972.1752000000001</v>
      </c>
      <c r="T12" s="68">
        <f t="shared" si="6"/>
        <v>3323.7385155687803</v>
      </c>
      <c r="U12" s="74">
        <v>1.4123999999999999E-2</v>
      </c>
      <c r="V12" s="74">
        <v>9.4500000000000001E-3</v>
      </c>
      <c r="W12" s="24">
        <v>22000</v>
      </c>
      <c r="X12" s="24">
        <f t="shared" si="14"/>
        <v>2902820.9759999998</v>
      </c>
      <c r="Y12" s="24">
        <f t="shared" si="7"/>
        <v>482743.80000000005</v>
      </c>
      <c r="Z12" s="24">
        <f t="shared" si="8"/>
        <v>3385564.7759999996</v>
      </c>
      <c r="AA12" s="25">
        <f t="shared" si="9"/>
        <v>5354021.3759999992</v>
      </c>
      <c r="AB12" s="24">
        <f t="shared" si="10"/>
        <v>4103411.5678918487</v>
      </c>
      <c r="AC12" s="45">
        <f t="shared" si="11"/>
        <v>4106735.3064074176</v>
      </c>
      <c r="IX12" s="8"/>
      <c r="IY12" s="8"/>
      <c r="IZ12" s="8"/>
    </row>
    <row r="13" spans="1:260" ht="15.5" x14ac:dyDescent="0.35">
      <c r="A13" s="3">
        <v>10</v>
      </c>
      <c r="B13" s="21">
        <v>2034</v>
      </c>
      <c r="C13" s="120">
        <f t="shared" si="12"/>
        <v>57</v>
      </c>
      <c r="D13" s="120">
        <f t="shared" si="13"/>
        <v>57</v>
      </c>
      <c r="E13" s="146">
        <f t="shared" si="15"/>
        <v>19</v>
      </c>
      <c r="F13" s="120">
        <v>173</v>
      </c>
      <c r="G13" s="120">
        <v>43</v>
      </c>
      <c r="H13" s="20">
        <v>1.73E-4</v>
      </c>
      <c r="I13" s="20">
        <v>9.7E-5</v>
      </c>
      <c r="J13" s="68">
        <v>1069000</v>
      </c>
      <c r="K13" s="68">
        <f t="shared" si="0"/>
        <v>1823663.757</v>
      </c>
      <c r="L13" s="68">
        <f t="shared" si="1"/>
        <v>254151.54299999998</v>
      </c>
      <c r="M13" s="68">
        <f t="shared" si="2"/>
        <v>2077815.3</v>
      </c>
      <c r="N13" s="73">
        <v>1.325E-3</v>
      </c>
      <c r="O13" s="73">
        <v>1.005E-3</v>
      </c>
      <c r="P13" s="68">
        <v>274</v>
      </c>
      <c r="Q13" s="68">
        <f t="shared" si="3"/>
        <v>3580.0360500000002</v>
      </c>
      <c r="R13" s="68">
        <f t="shared" si="4"/>
        <v>674.93187</v>
      </c>
      <c r="S13" s="68">
        <f t="shared" si="5"/>
        <v>4254.96792</v>
      </c>
      <c r="T13" s="68">
        <f t="shared" si="6"/>
        <v>3490.5556991953258</v>
      </c>
      <c r="U13" s="74">
        <v>1.4123999999999999E-2</v>
      </c>
      <c r="V13" s="74">
        <v>9.4500000000000001E-3</v>
      </c>
      <c r="W13" s="24">
        <v>22000</v>
      </c>
      <c r="X13" s="24">
        <f t="shared" si="14"/>
        <v>3064088.8079999997</v>
      </c>
      <c r="Y13" s="24">
        <f t="shared" si="7"/>
        <v>509562.9</v>
      </c>
      <c r="Z13" s="24">
        <f t="shared" si="8"/>
        <v>3573651.7079999996</v>
      </c>
      <c r="AA13" s="25">
        <f t="shared" si="9"/>
        <v>5651467.0079999994</v>
      </c>
      <c r="AB13" s="24">
        <f t="shared" si="10"/>
        <v>4205222.2108924016</v>
      </c>
      <c r="AC13" s="45">
        <f t="shared" si="11"/>
        <v>4208712.7665915973</v>
      </c>
      <c r="IX13" s="8"/>
      <c r="IY13" s="8"/>
      <c r="IZ13" s="8"/>
    </row>
    <row r="14" spans="1:260" ht="15.5" x14ac:dyDescent="0.35">
      <c r="A14" s="3">
        <v>11</v>
      </c>
      <c r="B14" s="21">
        <v>2035</v>
      </c>
      <c r="C14" s="120">
        <f t="shared" si="12"/>
        <v>60</v>
      </c>
      <c r="D14" s="120">
        <f t="shared" si="13"/>
        <v>60</v>
      </c>
      <c r="E14" s="136">
        <f t="shared" si="15"/>
        <v>20</v>
      </c>
      <c r="F14" s="120">
        <v>173</v>
      </c>
      <c r="G14" s="120">
        <v>43</v>
      </c>
      <c r="H14" s="20">
        <v>1.73E-4</v>
      </c>
      <c r="I14" s="20">
        <v>9.7E-5</v>
      </c>
      <c r="J14" s="68">
        <v>1069000</v>
      </c>
      <c r="K14" s="68">
        <f t="shared" si="0"/>
        <v>1919646.06</v>
      </c>
      <c r="L14" s="68">
        <f t="shared" si="1"/>
        <v>267527.94</v>
      </c>
      <c r="M14" s="68">
        <f t="shared" si="2"/>
        <v>2187174</v>
      </c>
      <c r="N14" s="73">
        <v>1.325E-3</v>
      </c>
      <c r="O14" s="73">
        <v>1.005E-3</v>
      </c>
      <c r="P14" s="68">
        <v>278</v>
      </c>
      <c r="Q14" s="68">
        <f t="shared" si="3"/>
        <v>3823.4730000000004</v>
      </c>
      <c r="R14" s="68">
        <f t="shared" si="4"/>
        <v>720.82620000000009</v>
      </c>
      <c r="S14" s="68">
        <f t="shared" si="5"/>
        <v>4544.2992000000004</v>
      </c>
      <c r="T14" s="68">
        <f t="shared" si="6"/>
        <v>3654.811885141205</v>
      </c>
      <c r="U14" s="74">
        <v>1.4123999999999999E-2</v>
      </c>
      <c r="V14" s="74">
        <v>9.4500000000000001E-3</v>
      </c>
      <c r="W14" s="24">
        <v>22000</v>
      </c>
      <c r="X14" s="24">
        <f t="shared" si="14"/>
        <v>3225356.6399999997</v>
      </c>
      <c r="Y14" s="24">
        <f t="shared" si="7"/>
        <v>536382</v>
      </c>
      <c r="Z14" s="24">
        <f t="shared" si="8"/>
        <v>3761738.6399999997</v>
      </c>
      <c r="AA14" s="25">
        <f t="shared" si="9"/>
        <v>5948912.6399999997</v>
      </c>
      <c r="AB14" s="24">
        <f t="shared" si="10"/>
        <v>4297621.063763313</v>
      </c>
      <c r="AC14" s="45">
        <f t="shared" si="11"/>
        <v>4301275.8756484538</v>
      </c>
      <c r="IX14" s="8"/>
      <c r="IY14" s="8"/>
      <c r="IZ14" s="8"/>
    </row>
    <row r="15" spans="1:260" ht="15.5" x14ac:dyDescent="0.35">
      <c r="A15" s="3">
        <v>12</v>
      </c>
      <c r="B15" s="21">
        <v>2036</v>
      </c>
      <c r="C15" s="120">
        <f t="shared" si="12"/>
        <v>63</v>
      </c>
      <c r="D15" s="120">
        <f t="shared" si="13"/>
        <v>63</v>
      </c>
      <c r="E15" s="136">
        <f t="shared" si="15"/>
        <v>21</v>
      </c>
      <c r="F15" s="120">
        <v>173</v>
      </c>
      <c r="G15" s="120">
        <v>43</v>
      </c>
      <c r="H15" s="20">
        <v>1.73E-4</v>
      </c>
      <c r="I15" s="20">
        <v>9.7E-5</v>
      </c>
      <c r="J15" s="68">
        <v>1069000</v>
      </c>
      <c r="K15" s="68">
        <f t="shared" si="0"/>
        <v>2015628.3629999999</v>
      </c>
      <c r="L15" s="68">
        <f t="shared" si="1"/>
        <v>280904.337</v>
      </c>
      <c r="M15" s="68">
        <f t="shared" si="2"/>
        <v>2296532.6999999997</v>
      </c>
      <c r="N15" s="73">
        <v>1.325E-3</v>
      </c>
      <c r="O15" s="73">
        <v>1.005E-3</v>
      </c>
      <c r="P15" s="68">
        <v>282</v>
      </c>
      <c r="Q15" s="68">
        <f t="shared" si="3"/>
        <v>4072.4113499999999</v>
      </c>
      <c r="R15" s="68">
        <f t="shared" si="4"/>
        <v>767.75769000000003</v>
      </c>
      <c r="S15" s="68">
        <f t="shared" si="5"/>
        <v>4840.1690399999998</v>
      </c>
      <c r="T15" s="68">
        <f t="shared" si="6"/>
        <v>3816.4402567016173</v>
      </c>
      <c r="U15" s="74">
        <v>1.4123999999999999E-2</v>
      </c>
      <c r="V15" s="74">
        <v>9.4500000000000001E-3</v>
      </c>
      <c r="W15" s="24">
        <v>22000</v>
      </c>
      <c r="X15" s="24">
        <f t="shared" si="14"/>
        <v>3386624.4720000001</v>
      </c>
      <c r="Y15" s="24">
        <f t="shared" si="7"/>
        <v>563201.1</v>
      </c>
      <c r="Z15" s="24">
        <f t="shared" si="8"/>
        <v>3949825.5720000002</v>
      </c>
      <c r="AA15" s="25">
        <f t="shared" si="9"/>
        <v>6246358.2719999999</v>
      </c>
      <c r="AB15" s="24">
        <f t="shared" si="10"/>
        <v>4381070.0164577467</v>
      </c>
      <c r="AC15" s="45">
        <f t="shared" si="11"/>
        <v>4384886.4567144485</v>
      </c>
      <c r="IX15" s="8"/>
      <c r="IY15" s="8"/>
      <c r="IZ15" s="8"/>
    </row>
    <row r="16" spans="1:260" ht="15.5" x14ac:dyDescent="0.35">
      <c r="A16" s="3">
        <v>13</v>
      </c>
      <c r="B16" s="21">
        <v>2037</v>
      </c>
      <c r="C16" s="120">
        <f t="shared" si="12"/>
        <v>66</v>
      </c>
      <c r="D16" s="120">
        <f t="shared" si="13"/>
        <v>66</v>
      </c>
      <c r="E16" s="136">
        <f t="shared" si="15"/>
        <v>22</v>
      </c>
      <c r="F16" s="120">
        <v>173</v>
      </c>
      <c r="G16" s="120">
        <v>43</v>
      </c>
      <c r="H16" s="20">
        <v>1.73E-4</v>
      </c>
      <c r="I16" s="20">
        <v>9.7E-5</v>
      </c>
      <c r="J16" s="68">
        <v>1069000</v>
      </c>
      <c r="K16" s="68">
        <f t="shared" si="0"/>
        <v>2111610.6660000002</v>
      </c>
      <c r="L16" s="68">
        <f t="shared" si="1"/>
        <v>294280.734</v>
      </c>
      <c r="M16" s="68">
        <f t="shared" si="2"/>
        <v>2405891.4000000004</v>
      </c>
      <c r="N16" s="73">
        <v>1.325E-3</v>
      </c>
      <c r="O16" s="73">
        <v>1.005E-3</v>
      </c>
      <c r="P16" s="68">
        <v>287</v>
      </c>
      <c r="Q16" s="68">
        <f t="shared" si="3"/>
        <v>4341.9799499999999</v>
      </c>
      <c r="R16" s="68">
        <f t="shared" si="4"/>
        <v>818.57853000000011</v>
      </c>
      <c r="S16" s="68">
        <f t="shared" si="5"/>
        <v>5160.5584799999997</v>
      </c>
      <c r="T16" s="68">
        <f t="shared" si="6"/>
        <v>3989.2795526176919</v>
      </c>
      <c r="U16" s="74">
        <v>1.4123999999999999E-2</v>
      </c>
      <c r="V16" s="74">
        <v>9.4500000000000001E-3</v>
      </c>
      <c r="W16" s="24">
        <v>22000</v>
      </c>
      <c r="X16" s="24">
        <f t="shared" si="14"/>
        <v>3547892.304</v>
      </c>
      <c r="Y16" s="24">
        <f t="shared" si="7"/>
        <v>590020.19999999995</v>
      </c>
      <c r="Z16" s="24">
        <f t="shared" si="8"/>
        <v>4137912.5039999997</v>
      </c>
      <c r="AA16" s="25">
        <f t="shared" si="9"/>
        <v>6543803.9040000001</v>
      </c>
      <c r="AB16" s="24">
        <f t="shared" si="10"/>
        <v>4456012.0370813888</v>
      </c>
      <c r="AC16" s="45">
        <f t="shared" si="11"/>
        <v>4460001.3166340068</v>
      </c>
      <c r="IX16" s="8"/>
      <c r="IY16" s="8"/>
      <c r="IZ16" s="8"/>
    </row>
    <row r="17" spans="1:260" ht="15.5" x14ac:dyDescent="0.35">
      <c r="A17" s="3">
        <v>14</v>
      </c>
      <c r="B17" s="21">
        <v>2038</v>
      </c>
      <c r="C17" s="120">
        <f t="shared" si="12"/>
        <v>69</v>
      </c>
      <c r="D17" s="120">
        <f t="shared" si="13"/>
        <v>69</v>
      </c>
      <c r="E17" s="136">
        <f t="shared" si="15"/>
        <v>23</v>
      </c>
      <c r="F17" s="120">
        <v>173</v>
      </c>
      <c r="G17" s="120">
        <v>43</v>
      </c>
      <c r="H17" s="20">
        <v>1.73E-4</v>
      </c>
      <c r="I17" s="20">
        <v>9.7E-5</v>
      </c>
      <c r="J17" s="68">
        <v>1069000</v>
      </c>
      <c r="K17" s="68">
        <f t="shared" si="0"/>
        <v>2207592.969</v>
      </c>
      <c r="L17" s="68">
        <f t="shared" si="1"/>
        <v>307657.13099999999</v>
      </c>
      <c r="M17" s="68">
        <f t="shared" si="2"/>
        <v>2515250.1</v>
      </c>
      <c r="N17" s="73">
        <v>1.325E-3</v>
      </c>
      <c r="O17" s="73">
        <v>1.005E-3</v>
      </c>
      <c r="P17" s="68">
        <v>290</v>
      </c>
      <c r="Q17" s="68">
        <f t="shared" si="3"/>
        <v>4586.7922500000004</v>
      </c>
      <c r="R17" s="68">
        <f t="shared" si="4"/>
        <v>864.73215000000005</v>
      </c>
      <c r="S17" s="68">
        <f t="shared" si="5"/>
        <v>5451.5244000000002</v>
      </c>
      <c r="T17" s="68">
        <f t="shared" si="6"/>
        <v>4131.5741886936603</v>
      </c>
      <c r="U17" s="74">
        <v>1.4123999999999999E-2</v>
      </c>
      <c r="V17" s="74">
        <v>9.4500000000000001E-3</v>
      </c>
      <c r="W17" s="24">
        <v>22000</v>
      </c>
      <c r="X17" s="24">
        <f t="shared" si="14"/>
        <v>3709160.1359999999</v>
      </c>
      <c r="Y17" s="24">
        <f t="shared" si="7"/>
        <v>616839.30000000005</v>
      </c>
      <c r="Z17" s="24">
        <f t="shared" si="8"/>
        <v>4325999.4359999998</v>
      </c>
      <c r="AA17" s="25">
        <f t="shared" si="9"/>
        <v>6841249.5360000003</v>
      </c>
      <c r="AB17" s="24">
        <f t="shared" si="10"/>
        <v>4522871.8822979676</v>
      </c>
      <c r="AC17" s="45">
        <f t="shared" si="11"/>
        <v>4527003.456486661</v>
      </c>
      <c r="IX17" s="8"/>
      <c r="IY17" s="8"/>
      <c r="IZ17" s="8"/>
    </row>
    <row r="18" spans="1:260" ht="15.5" x14ac:dyDescent="0.35">
      <c r="A18" s="3">
        <v>15</v>
      </c>
      <c r="B18" s="21">
        <v>2039</v>
      </c>
      <c r="C18" s="120">
        <f t="shared" si="12"/>
        <v>72</v>
      </c>
      <c r="D18" s="120">
        <f t="shared" si="13"/>
        <v>72</v>
      </c>
      <c r="E18" s="136">
        <f t="shared" si="15"/>
        <v>24</v>
      </c>
      <c r="F18" s="120">
        <v>173</v>
      </c>
      <c r="G18" s="120">
        <v>43</v>
      </c>
      <c r="H18" s="20">
        <v>1.73E-4</v>
      </c>
      <c r="I18" s="20">
        <v>9.7E-5</v>
      </c>
      <c r="J18" s="68">
        <v>1069000</v>
      </c>
      <c r="K18" s="68">
        <f t="shared" si="0"/>
        <v>2303575.2720000003</v>
      </c>
      <c r="L18" s="68">
        <f t="shared" si="1"/>
        <v>321033.52800000005</v>
      </c>
      <c r="M18" s="68">
        <f t="shared" si="2"/>
        <v>2624608.8000000003</v>
      </c>
      <c r="N18" s="73">
        <v>1.325E-3</v>
      </c>
      <c r="O18" s="73">
        <v>1.005E-3</v>
      </c>
      <c r="P18" s="68">
        <v>294</v>
      </c>
      <c r="Q18" s="68">
        <f t="shared" si="3"/>
        <v>4852.2348000000002</v>
      </c>
      <c r="R18" s="68">
        <f t="shared" si="4"/>
        <v>914.77512000000002</v>
      </c>
      <c r="S18" s="68">
        <f t="shared" si="5"/>
        <v>5767.0099200000004</v>
      </c>
      <c r="T18" s="68">
        <f t="shared" si="6"/>
        <v>4284.9733185499126</v>
      </c>
      <c r="U18" s="74">
        <v>1.4123999999999999E-2</v>
      </c>
      <c r="V18" s="74">
        <v>9.4500000000000001E-3</v>
      </c>
      <c r="W18" s="24">
        <v>22000</v>
      </c>
      <c r="X18" s="24">
        <f t="shared" si="14"/>
        <v>3870427.9679999999</v>
      </c>
      <c r="Y18" s="24">
        <f t="shared" si="7"/>
        <v>643658.4</v>
      </c>
      <c r="Z18" s="24">
        <f t="shared" si="8"/>
        <v>4514086.3679999998</v>
      </c>
      <c r="AA18" s="25">
        <f t="shared" si="9"/>
        <v>7138695.1679999996</v>
      </c>
      <c r="AB18" s="24">
        <f t="shared" si="10"/>
        <v>4582056.7824040186</v>
      </c>
      <c r="AC18" s="45">
        <f t="shared" si="11"/>
        <v>4586341.7557225684</v>
      </c>
      <c r="IX18" s="8"/>
      <c r="IY18" s="8"/>
      <c r="IZ18" s="8"/>
    </row>
    <row r="19" spans="1:260" ht="15.5" x14ac:dyDescent="0.35">
      <c r="A19" s="3">
        <v>16</v>
      </c>
      <c r="B19" s="21">
        <v>2040</v>
      </c>
      <c r="C19" s="120">
        <f t="shared" si="12"/>
        <v>72</v>
      </c>
      <c r="D19" s="120">
        <f t="shared" si="13"/>
        <v>72</v>
      </c>
      <c r="E19" s="136">
        <v>24</v>
      </c>
      <c r="F19" s="120">
        <v>173</v>
      </c>
      <c r="G19" s="120">
        <v>43</v>
      </c>
      <c r="H19" s="20">
        <v>1.73E-4</v>
      </c>
      <c r="I19" s="20">
        <v>9.7E-5</v>
      </c>
      <c r="J19" s="68">
        <v>1069000</v>
      </c>
      <c r="K19" s="68">
        <f t="shared" si="0"/>
        <v>2303575.2720000003</v>
      </c>
      <c r="L19" s="68">
        <f t="shared" si="1"/>
        <v>321033.52800000005</v>
      </c>
      <c r="M19" s="68">
        <f t="shared" si="2"/>
        <v>2624608.8000000003</v>
      </c>
      <c r="N19" s="73">
        <v>1.325E-3</v>
      </c>
      <c r="O19" s="73">
        <v>1.005E-3</v>
      </c>
      <c r="P19" s="68">
        <v>299</v>
      </c>
      <c r="Q19" s="68">
        <f t="shared" si="3"/>
        <v>4934.7557999999999</v>
      </c>
      <c r="R19" s="68">
        <f t="shared" si="4"/>
        <v>930.33252000000005</v>
      </c>
      <c r="S19" s="68">
        <f t="shared" si="5"/>
        <v>5865.0883199999998</v>
      </c>
      <c r="T19" s="68">
        <f t="shared" si="6"/>
        <v>4272.3990337682526</v>
      </c>
      <c r="U19" s="74">
        <v>1.4123999999999999E-2</v>
      </c>
      <c r="V19" s="74">
        <v>9.4500000000000001E-3</v>
      </c>
      <c r="W19" s="24">
        <v>22000</v>
      </c>
      <c r="X19" s="24">
        <f t="shared" si="14"/>
        <v>3870427.9679999999</v>
      </c>
      <c r="Y19" s="24">
        <f t="shared" si="7"/>
        <v>643658.4</v>
      </c>
      <c r="Z19" s="24">
        <f t="shared" si="8"/>
        <v>4514086.3679999998</v>
      </c>
      <c r="AA19" s="25">
        <f t="shared" si="9"/>
        <v>7138695.1679999996</v>
      </c>
      <c r="AB19" s="24">
        <f t="shared" si="10"/>
        <v>4448598.8178679794</v>
      </c>
      <c r="AC19" s="45">
        <f t="shared" si="11"/>
        <v>4452871.2169017475</v>
      </c>
      <c r="IX19" s="8"/>
      <c r="IY19" s="8"/>
      <c r="IZ19" s="8"/>
    </row>
    <row r="20" spans="1:260" ht="15.5" x14ac:dyDescent="0.35">
      <c r="A20" s="3">
        <v>17</v>
      </c>
      <c r="B20" s="21">
        <v>2041</v>
      </c>
      <c r="C20" s="120">
        <f t="shared" si="12"/>
        <v>75</v>
      </c>
      <c r="D20" s="120">
        <f t="shared" si="13"/>
        <v>75</v>
      </c>
      <c r="E20" s="146">
        <f>E19+1</f>
        <v>25</v>
      </c>
      <c r="F20" s="120">
        <v>173</v>
      </c>
      <c r="G20" s="120">
        <v>43</v>
      </c>
      <c r="H20" s="20">
        <v>1.73E-4</v>
      </c>
      <c r="I20" s="20">
        <v>9.7E-5</v>
      </c>
      <c r="J20" s="68">
        <v>1069000</v>
      </c>
      <c r="K20" s="68">
        <f t="shared" si="0"/>
        <v>2399557.5750000002</v>
      </c>
      <c r="L20" s="68">
        <f t="shared" si="1"/>
        <v>334409.92500000005</v>
      </c>
      <c r="M20" s="68">
        <f t="shared" si="2"/>
        <v>2733967.5</v>
      </c>
      <c r="N20" s="73">
        <v>1.325E-3</v>
      </c>
      <c r="O20" s="73">
        <v>1.005E-3</v>
      </c>
      <c r="P20" s="68">
        <v>303</v>
      </c>
      <c r="Q20" s="68">
        <f t="shared" si="3"/>
        <v>5209.1381249999995</v>
      </c>
      <c r="R20" s="68">
        <f t="shared" si="4"/>
        <v>982.06087500000012</v>
      </c>
      <c r="S20" s="68">
        <f t="shared" si="5"/>
        <v>6191.1989999999996</v>
      </c>
      <c r="T20" s="68">
        <f t="shared" si="6"/>
        <v>4421.5225425703475</v>
      </c>
      <c r="U20" s="74">
        <v>1.4123999999999999E-2</v>
      </c>
      <c r="V20" s="74">
        <v>9.4500000000000001E-3</v>
      </c>
      <c r="W20" s="24">
        <v>22000</v>
      </c>
      <c r="X20" s="24">
        <f t="shared" si="14"/>
        <v>4031695.8</v>
      </c>
      <c r="Y20" s="24">
        <f t="shared" si="7"/>
        <v>670477.5</v>
      </c>
      <c r="Z20" s="24">
        <f t="shared" si="8"/>
        <v>4702173.3</v>
      </c>
      <c r="AA20" s="25">
        <f t="shared" si="9"/>
        <v>7436140.7999999998</v>
      </c>
      <c r="AB20" s="24">
        <f t="shared" si="10"/>
        <v>4498987.4776172936</v>
      </c>
      <c r="AC20" s="45">
        <f t="shared" si="11"/>
        <v>4503409.0001598643</v>
      </c>
      <c r="IX20" s="8"/>
      <c r="IY20" s="8"/>
      <c r="IZ20" s="8"/>
    </row>
    <row r="21" spans="1:260" ht="15.5" x14ac:dyDescent="0.35">
      <c r="A21" s="3">
        <v>18</v>
      </c>
      <c r="B21" s="21">
        <v>2042</v>
      </c>
      <c r="C21" s="120">
        <f t="shared" si="12"/>
        <v>78</v>
      </c>
      <c r="D21" s="120">
        <f t="shared" si="13"/>
        <v>78</v>
      </c>
      <c r="E21" s="136">
        <f t="shared" si="15"/>
        <v>26</v>
      </c>
      <c r="F21" s="120">
        <v>173</v>
      </c>
      <c r="G21" s="120">
        <v>43</v>
      </c>
      <c r="H21" s="20">
        <v>1.73E-4</v>
      </c>
      <c r="I21" s="20">
        <v>9.7E-5</v>
      </c>
      <c r="J21" s="68">
        <v>1069000</v>
      </c>
      <c r="K21" s="68">
        <f t="shared" si="0"/>
        <v>2495539.8780000005</v>
      </c>
      <c r="L21" s="68">
        <f t="shared" si="1"/>
        <v>347786.32200000004</v>
      </c>
      <c r="M21" s="68">
        <f t="shared" si="2"/>
        <v>2843326.2000000007</v>
      </c>
      <c r="N21" s="73">
        <v>1.325E-3</v>
      </c>
      <c r="O21" s="73">
        <v>1.005E-3</v>
      </c>
      <c r="P21" s="68">
        <v>308</v>
      </c>
      <c r="Q21" s="68">
        <f t="shared" si="3"/>
        <v>5506.9014000000006</v>
      </c>
      <c r="R21" s="68">
        <f t="shared" si="4"/>
        <v>1038.1971600000002</v>
      </c>
      <c r="S21" s="68">
        <f t="shared" si="5"/>
        <v>6545.0985600000004</v>
      </c>
      <c r="T21" s="68">
        <f t="shared" si="6"/>
        <v>4582.6121168580012</v>
      </c>
      <c r="U21" s="74">
        <v>1.4123999999999999E-2</v>
      </c>
      <c r="V21" s="74">
        <v>9.4500000000000001E-3</v>
      </c>
      <c r="W21" s="24">
        <v>22000</v>
      </c>
      <c r="X21" s="24">
        <f t="shared" si="14"/>
        <v>4192963.6320000002</v>
      </c>
      <c r="Y21" s="24">
        <f t="shared" si="7"/>
        <v>697296.6</v>
      </c>
      <c r="Z21" s="24">
        <f t="shared" si="8"/>
        <v>4890260.2319999998</v>
      </c>
      <c r="AA21" s="25">
        <f t="shared" si="9"/>
        <v>7733586.432</v>
      </c>
      <c r="AB21" s="24">
        <f t="shared" si="10"/>
        <v>4542666.9676912483</v>
      </c>
      <c r="AC21" s="45">
        <f t="shared" si="11"/>
        <v>4547249.5798081066</v>
      </c>
      <c r="IX21" s="8"/>
      <c r="IY21" s="8"/>
      <c r="IZ21" s="8"/>
    </row>
    <row r="22" spans="1:260" ht="15.5" x14ac:dyDescent="0.35">
      <c r="A22" s="3">
        <v>19</v>
      </c>
      <c r="B22" s="21">
        <v>2043</v>
      </c>
      <c r="C22" s="120">
        <f>E22*3</f>
        <v>81</v>
      </c>
      <c r="D22" s="120">
        <f>E22*3</f>
        <v>81</v>
      </c>
      <c r="E22" s="136">
        <f t="shared" si="15"/>
        <v>27</v>
      </c>
      <c r="F22" s="120">
        <v>173</v>
      </c>
      <c r="G22" s="120">
        <v>43</v>
      </c>
      <c r="H22" s="20">
        <v>1.73E-4</v>
      </c>
      <c r="I22" s="20">
        <v>9.7E-5</v>
      </c>
      <c r="J22" s="68">
        <v>1069000</v>
      </c>
      <c r="K22" s="68">
        <f t="shared" si="0"/>
        <v>2591522.1810000003</v>
      </c>
      <c r="L22" s="68">
        <f t="shared" si="1"/>
        <v>361162.71900000004</v>
      </c>
      <c r="M22" s="68">
        <f t="shared" si="2"/>
        <v>2952684.9000000004</v>
      </c>
      <c r="N22" s="73">
        <v>1.325E-3</v>
      </c>
      <c r="O22" s="73">
        <v>1.005E-3</v>
      </c>
      <c r="P22" s="68">
        <v>312</v>
      </c>
      <c r="Q22" s="68">
        <f t="shared" si="3"/>
        <v>5792.9742000000006</v>
      </c>
      <c r="R22" s="68">
        <f t="shared" si="4"/>
        <v>1092.1294800000001</v>
      </c>
      <c r="S22" s="68">
        <f t="shared" si="5"/>
        <v>6885.1036800000002</v>
      </c>
      <c r="T22" s="68">
        <f t="shared" si="6"/>
        <v>4726.1469501591309</v>
      </c>
      <c r="U22" s="74">
        <v>1.4123999999999999E-2</v>
      </c>
      <c r="V22" s="74">
        <v>9.4500000000000001E-3</v>
      </c>
      <c r="W22" s="24">
        <v>22000</v>
      </c>
      <c r="X22" s="24">
        <f t="shared" si="14"/>
        <v>4354231.4639999997</v>
      </c>
      <c r="Y22" s="24">
        <f t="shared" si="7"/>
        <v>724115.7</v>
      </c>
      <c r="Z22" s="24">
        <f t="shared" si="8"/>
        <v>5078347.1639999999</v>
      </c>
      <c r="AA22" s="25">
        <f t="shared" si="9"/>
        <v>8031032.0640000002</v>
      </c>
      <c r="AB22" s="24">
        <f t="shared" si="10"/>
        <v>4579985.3669777336</v>
      </c>
      <c r="AC22" s="45">
        <f t="shared" si="11"/>
        <v>4584711.5139278928</v>
      </c>
      <c r="IX22" s="8"/>
      <c r="IY22" s="8"/>
      <c r="IZ22" s="8"/>
    </row>
    <row r="23" spans="1:260" ht="15.5" x14ac:dyDescent="0.35">
      <c r="A23" s="57">
        <v>20</v>
      </c>
      <c r="B23" s="21">
        <v>2044</v>
      </c>
      <c r="C23" s="120">
        <f t="shared" ref="C23:C28" si="16">E23*3</f>
        <v>84</v>
      </c>
      <c r="D23" s="120">
        <f t="shared" ref="D23:D28" si="17">E23*3</f>
        <v>84</v>
      </c>
      <c r="E23" s="136">
        <f t="shared" si="15"/>
        <v>28</v>
      </c>
      <c r="F23" s="120">
        <v>173</v>
      </c>
      <c r="G23" s="120">
        <v>43</v>
      </c>
      <c r="H23" s="20">
        <v>1.73E-4</v>
      </c>
      <c r="I23" s="20">
        <v>9.7E-5</v>
      </c>
      <c r="J23" s="68">
        <v>1069000</v>
      </c>
      <c r="K23" s="68">
        <f t="shared" si="0"/>
        <v>2687504.4839999997</v>
      </c>
      <c r="L23" s="68">
        <f t="shared" si="1"/>
        <v>374539.11600000004</v>
      </c>
      <c r="M23" s="68">
        <f t="shared" si="2"/>
        <v>3062043.5999999996</v>
      </c>
      <c r="N23" s="73">
        <v>1.325E-3</v>
      </c>
      <c r="O23" s="73">
        <v>1.005E-3</v>
      </c>
      <c r="P23" s="68">
        <v>317</v>
      </c>
      <c r="Q23" s="68">
        <f t="shared" si="3"/>
        <v>6103.8032999999996</v>
      </c>
      <c r="R23" s="68">
        <f t="shared" si="4"/>
        <v>1150.72902</v>
      </c>
      <c r="S23" s="68">
        <f t="shared" si="5"/>
        <v>7254.5323199999993</v>
      </c>
      <c r="T23" s="68">
        <f t="shared" si="6"/>
        <v>4882.0922864658905</v>
      </c>
      <c r="U23" s="74">
        <v>1.4123999999999999E-2</v>
      </c>
      <c r="V23" s="74">
        <v>9.4500000000000001E-3</v>
      </c>
      <c r="W23" s="24">
        <v>22000</v>
      </c>
      <c r="X23" s="24">
        <f t="shared" si="14"/>
        <v>4515499.2960000001</v>
      </c>
      <c r="Y23" s="24">
        <f t="shared" si="7"/>
        <v>750934.8</v>
      </c>
      <c r="Z23" s="24">
        <f t="shared" si="8"/>
        <v>5266434.0959999999</v>
      </c>
      <c r="AA23" s="25">
        <f t="shared" si="9"/>
        <v>8328477.6959999995</v>
      </c>
      <c r="AB23" s="24">
        <f t="shared" si="10"/>
        <v>4611276.1695568692</v>
      </c>
      <c r="AC23" s="45">
        <f t="shared" si="11"/>
        <v>4616158.2618433349</v>
      </c>
      <c r="IX23" s="8"/>
      <c r="IY23" s="8"/>
      <c r="IZ23" s="8"/>
    </row>
    <row r="24" spans="1:260" ht="15.5" x14ac:dyDescent="0.35">
      <c r="A24" s="57">
        <v>21</v>
      </c>
      <c r="B24" s="21">
        <v>2045</v>
      </c>
      <c r="C24" s="120">
        <f t="shared" si="16"/>
        <v>87</v>
      </c>
      <c r="D24" s="120">
        <f t="shared" si="17"/>
        <v>87</v>
      </c>
      <c r="E24" s="136">
        <f t="shared" si="15"/>
        <v>29</v>
      </c>
      <c r="F24" s="120">
        <v>173</v>
      </c>
      <c r="G24" s="120">
        <v>43</v>
      </c>
      <c r="H24" s="20">
        <v>1.73E-4</v>
      </c>
      <c r="I24" s="20">
        <v>9.7E-5</v>
      </c>
      <c r="J24" s="68">
        <v>1069000</v>
      </c>
      <c r="K24" s="68">
        <f t="shared" si="0"/>
        <v>2783486.787</v>
      </c>
      <c r="L24" s="68">
        <f t="shared" si="1"/>
        <v>387915.51299999998</v>
      </c>
      <c r="M24" s="68">
        <f t="shared" si="2"/>
        <v>3171402.3</v>
      </c>
      <c r="N24" s="73">
        <v>1.325E-3</v>
      </c>
      <c r="O24" s="73">
        <v>1.005E-3</v>
      </c>
      <c r="P24" s="68">
        <v>321</v>
      </c>
      <c r="Q24" s="68">
        <f t="shared" si="3"/>
        <v>6401.5665750000007</v>
      </c>
      <c r="R24" s="68">
        <f t="shared" si="4"/>
        <v>1206.865305</v>
      </c>
      <c r="S24" s="68">
        <f t="shared" si="5"/>
        <v>7608.431880000001</v>
      </c>
      <c r="T24" s="68">
        <f t="shared" si="6"/>
        <v>5019.8593579857325</v>
      </c>
      <c r="U24" s="74">
        <v>1.4123999999999999E-2</v>
      </c>
      <c r="V24" s="74">
        <v>9.4500000000000001E-3</v>
      </c>
      <c r="W24" s="24">
        <v>22000</v>
      </c>
      <c r="X24" s="24">
        <f t="shared" si="14"/>
        <v>4676767.1279999996</v>
      </c>
      <c r="Y24" s="24">
        <f t="shared" si="7"/>
        <v>777753.89999999991</v>
      </c>
      <c r="Z24" s="24">
        <f t="shared" si="8"/>
        <v>5454521.027999999</v>
      </c>
      <c r="AA24" s="25">
        <f t="shared" si="9"/>
        <v>8625923.3279999979</v>
      </c>
      <c r="AB24" s="24">
        <f t="shared" si="10"/>
        <v>4636858.8390134955</v>
      </c>
      <c r="AC24" s="45">
        <f t="shared" si="11"/>
        <v>4641878.6983714812</v>
      </c>
      <c r="IX24" s="8"/>
      <c r="IY24" s="8"/>
      <c r="IZ24" s="8"/>
    </row>
    <row r="25" spans="1:260" ht="15.5" x14ac:dyDescent="0.35">
      <c r="A25" s="57">
        <v>22</v>
      </c>
      <c r="B25" s="21">
        <v>2046</v>
      </c>
      <c r="C25" s="120">
        <f t="shared" si="16"/>
        <v>90</v>
      </c>
      <c r="D25" s="120">
        <f t="shared" si="17"/>
        <v>90</v>
      </c>
      <c r="E25" s="136">
        <f t="shared" si="15"/>
        <v>30</v>
      </c>
      <c r="F25" s="120">
        <v>173</v>
      </c>
      <c r="G25" s="120">
        <v>43</v>
      </c>
      <c r="H25" s="20">
        <v>1.73E-4</v>
      </c>
      <c r="I25" s="20">
        <v>9.7E-5</v>
      </c>
      <c r="J25" s="68">
        <v>1069000</v>
      </c>
      <c r="K25" s="68">
        <f t="shared" si="0"/>
        <v>2879469.09</v>
      </c>
      <c r="L25" s="68">
        <f t="shared" si="1"/>
        <v>401291.91</v>
      </c>
      <c r="M25" s="68">
        <f t="shared" si="2"/>
        <v>3280761</v>
      </c>
      <c r="N25" s="73">
        <v>1.325E-3</v>
      </c>
      <c r="O25" s="73">
        <v>1.005E-3</v>
      </c>
      <c r="P25" s="68">
        <v>326</v>
      </c>
      <c r="Q25" s="68">
        <f t="shared" si="3"/>
        <v>6725.4615000000003</v>
      </c>
      <c r="R25" s="68">
        <f t="shared" si="4"/>
        <v>1267.9281000000001</v>
      </c>
      <c r="S25" s="68">
        <f t="shared" si="5"/>
        <v>7993.3896000000004</v>
      </c>
      <c r="T25" s="68">
        <f t="shared" si="6"/>
        <v>5170.4364236486781</v>
      </c>
      <c r="U25" s="74">
        <v>1.4123999999999999E-2</v>
      </c>
      <c r="V25" s="74">
        <v>9.4500000000000001E-3</v>
      </c>
      <c r="W25" s="24">
        <v>22000</v>
      </c>
      <c r="X25" s="24">
        <f t="shared" si="14"/>
        <v>4838034.96</v>
      </c>
      <c r="Y25" s="24">
        <f t="shared" si="7"/>
        <v>804573</v>
      </c>
      <c r="Z25" s="24">
        <f t="shared" si="8"/>
        <v>5642607.96</v>
      </c>
      <c r="AA25" s="25">
        <f t="shared" si="9"/>
        <v>8923368.9600000009</v>
      </c>
      <c r="AB25" s="24">
        <f t="shared" si="10"/>
        <v>4657039.3428324368</v>
      </c>
      <c r="AC25" s="45">
        <f t="shared" si="11"/>
        <v>4662209.7792560859</v>
      </c>
      <c r="IX25" s="8"/>
      <c r="IY25" s="8"/>
      <c r="IZ25" s="8"/>
    </row>
    <row r="26" spans="1:260" ht="15.5" x14ac:dyDescent="0.35">
      <c r="A26" s="57">
        <v>23</v>
      </c>
      <c r="B26" s="21">
        <v>2047</v>
      </c>
      <c r="C26" s="120">
        <f t="shared" si="16"/>
        <v>90</v>
      </c>
      <c r="D26" s="120">
        <f t="shared" si="17"/>
        <v>90</v>
      </c>
      <c r="E26" s="136">
        <v>30</v>
      </c>
      <c r="F26" s="120">
        <v>173</v>
      </c>
      <c r="G26" s="120">
        <v>43</v>
      </c>
      <c r="H26" s="20">
        <v>1.73E-4</v>
      </c>
      <c r="I26" s="20">
        <v>9.7E-5</v>
      </c>
      <c r="J26" s="68">
        <v>1069000</v>
      </c>
      <c r="K26" s="68">
        <f t="shared" si="0"/>
        <v>2879469.09</v>
      </c>
      <c r="L26" s="68">
        <f t="shared" si="1"/>
        <v>401291.91</v>
      </c>
      <c r="M26" s="68">
        <f t="shared" si="2"/>
        <v>3280761</v>
      </c>
      <c r="N26" s="73">
        <v>1.325E-3</v>
      </c>
      <c r="O26" s="73">
        <v>1.005E-3</v>
      </c>
      <c r="P26" s="68">
        <v>331</v>
      </c>
      <c r="Q26" s="68">
        <f t="shared" si="3"/>
        <v>6828.6127500000002</v>
      </c>
      <c r="R26" s="68">
        <f t="shared" si="4"/>
        <v>1287.3748500000002</v>
      </c>
      <c r="S26" s="68">
        <f t="shared" si="5"/>
        <v>8115.9876000000004</v>
      </c>
      <c r="T26" s="68">
        <f t="shared" si="6"/>
        <v>5146.8015645005198</v>
      </c>
      <c r="U26" s="74">
        <v>1.4123999999999999E-2</v>
      </c>
      <c r="V26" s="74">
        <v>9.4500000000000001E-3</v>
      </c>
      <c r="W26" s="24">
        <v>22000</v>
      </c>
      <c r="X26" s="24">
        <f t="shared" si="14"/>
        <v>4838034.96</v>
      </c>
      <c r="Y26" s="24">
        <f t="shared" si="7"/>
        <v>804573</v>
      </c>
      <c r="Z26" s="24">
        <f t="shared" si="8"/>
        <v>5642607.96</v>
      </c>
      <c r="AA26" s="25">
        <f t="shared" si="9"/>
        <v>8923368.9600000009</v>
      </c>
      <c r="AB26" s="24">
        <f t="shared" si="10"/>
        <v>4521397.4202256668</v>
      </c>
      <c r="AC26" s="45">
        <f t="shared" si="11"/>
        <v>4526544.2217901675</v>
      </c>
      <c r="IX26" s="8"/>
      <c r="IY26" s="8"/>
      <c r="IZ26" s="8"/>
    </row>
    <row r="27" spans="1:260" ht="15.5" x14ac:dyDescent="0.35">
      <c r="A27" s="57">
        <v>24</v>
      </c>
      <c r="B27" s="21">
        <v>2049</v>
      </c>
      <c r="C27" s="120">
        <f t="shared" si="16"/>
        <v>90</v>
      </c>
      <c r="D27" s="120">
        <f t="shared" si="17"/>
        <v>90</v>
      </c>
      <c r="E27" s="136">
        <v>30</v>
      </c>
      <c r="F27" s="120">
        <v>173</v>
      </c>
      <c r="G27" s="120">
        <v>43</v>
      </c>
      <c r="H27" s="20">
        <v>1.73E-4</v>
      </c>
      <c r="I27" s="20">
        <v>9.7E-5</v>
      </c>
      <c r="J27" s="68">
        <v>1069000</v>
      </c>
      <c r="K27" s="68">
        <f t="shared" si="0"/>
        <v>2879469.09</v>
      </c>
      <c r="L27" s="68">
        <f t="shared" si="1"/>
        <v>401291.91</v>
      </c>
      <c r="M27" s="68">
        <f t="shared" si="2"/>
        <v>3280761</v>
      </c>
      <c r="N27" s="73">
        <v>1.325E-3</v>
      </c>
      <c r="O27" s="73">
        <v>1.005E-3</v>
      </c>
      <c r="P27" s="68">
        <v>336</v>
      </c>
      <c r="Q27" s="68">
        <f t="shared" si="3"/>
        <v>6931.7640000000001</v>
      </c>
      <c r="R27" s="68">
        <f t="shared" si="4"/>
        <v>1306.8216000000002</v>
      </c>
      <c r="S27" s="68">
        <f t="shared" si="5"/>
        <v>8238.5856000000003</v>
      </c>
      <c r="T27" s="68">
        <f t="shared" si="6"/>
        <v>5122.1056977435419</v>
      </c>
      <c r="U27" s="74">
        <v>1.4123999999999999E-2</v>
      </c>
      <c r="V27" s="74">
        <v>9.4500000000000001E-3</v>
      </c>
      <c r="W27" s="24">
        <v>22000</v>
      </c>
      <c r="X27" s="24">
        <f t="shared" si="14"/>
        <v>4838034.96</v>
      </c>
      <c r="Y27" s="24">
        <f t="shared" si="7"/>
        <v>804573</v>
      </c>
      <c r="Z27" s="24">
        <f t="shared" si="8"/>
        <v>5642607.96</v>
      </c>
      <c r="AA27" s="25">
        <f t="shared" si="9"/>
        <v>8923368.9600000009</v>
      </c>
      <c r="AB27" s="24">
        <f t="shared" si="10"/>
        <v>4389706.2332288027</v>
      </c>
      <c r="AC27" s="45">
        <f t="shared" si="11"/>
        <v>4394828.3389265463</v>
      </c>
      <c r="IX27" s="8"/>
      <c r="IY27" s="8"/>
      <c r="IZ27" s="8"/>
    </row>
    <row r="28" spans="1:260" ht="15.5" x14ac:dyDescent="0.35">
      <c r="A28" s="57">
        <v>25</v>
      </c>
      <c r="B28" s="21">
        <v>2050</v>
      </c>
      <c r="C28" s="120">
        <f t="shared" si="16"/>
        <v>90</v>
      </c>
      <c r="D28" s="120">
        <f t="shared" si="17"/>
        <v>90</v>
      </c>
      <c r="E28" s="136">
        <v>30</v>
      </c>
      <c r="F28" s="120">
        <v>173</v>
      </c>
      <c r="G28" s="120">
        <v>43</v>
      </c>
      <c r="H28" s="20">
        <v>1.73E-4</v>
      </c>
      <c r="I28" s="20">
        <v>9.7E-5</v>
      </c>
      <c r="J28" s="68">
        <v>1069000</v>
      </c>
      <c r="K28" s="68">
        <f t="shared" si="0"/>
        <v>2879469.09</v>
      </c>
      <c r="L28" s="68">
        <f t="shared" si="1"/>
        <v>401291.91</v>
      </c>
      <c r="M28" s="68">
        <f t="shared" si="2"/>
        <v>3280761</v>
      </c>
      <c r="N28" s="73">
        <v>1.325E-3</v>
      </c>
      <c r="O28" s="73">
        <v>1.005E-3</v>
      </c>
      <c r="P28" s="68">
        <v>340</v>
      </c>
      <c r="Q28" s="68">
        <f t="shared" si="3"/>
        <v>7014.2849999999999</v>
      </c>
      <c r="R28" s="68">
        <f t="shared" si="4"/>
        <v>1322.3790000000001</v>
      </c>
      <c r="S28" s="68">
        <f t="shared" si="5"/>
        <v>8336.6640000000007</v>
      </c>
      <c r="T28" s="68">
        <f t="shared" si="6"/>
        <v>5081.4540652217675</v>
      </c>
      <c r="U28" s="74">
        <v>1.4123999999999999E-2</v>
      </c>
      <c r="V28" s="74">
        <v>9.4500000000000001E-3</v>
      </c>
      <c r="W28" s="24">
        <v>22000</v>
      </c>
      <c r="X28" s="24">
        <f t="shared" si="14"/>
        <v>4838034.96</v>
      </c>
      <c r="Y28" s="24">
        <f t="shared" si="7"/>
        <v>804573</v>
      </c>
      <c r="Z28" s="24">
        <f t="shared" si="8"/>
        <v>5642607.96</v>
      </c>
      <c r="AA28" s="25">
        <f t="shared" si="9"/>
        <v>8923368.9600000009</v>
      </c>
      <c r="AB28" s="24">
        <f t="shared" si="10"/>
        <v>4261850.7118726242</v>
      </c>
      <c r="AC28" s="45">
        <f t="shared" si="11"/>
        <v>4266932.1659378456</v>
      </c>
      <c r="IX28" s="8"/>
      <c r="IY28" s="8"/>
      <c r="IZ28" s="8"/>
    </row>
    <row r="29" spans="1:260" ht="15.5" x14ac:dyDescent="0.35">
      <c r="A29" s="57">
        <v>26</v>
      </c>
      <c r="B29" s="21">
        <v>2051</v>
      </c>
      <c r="C29" s="120"/>
      <c r="D29" s="120"/>
      <c r="E29" s="120"/>
      <c r="F29" s="120"/>
      <c r="G29" s="120"/>
      <c r="H29" s="20"/>
      <c r="I29" s="20"/>
      <c r="J29" s="68"/>
      <c r="K29" s="65"/>
      <c r="L29" s="68"/>
      <c r="M29" s="68"/>
      <c r="N29" s="73"/>
      <c r="O29" s="73"/>
      <c r="P29" s="68"/>
      <c r="Q29" s="68"/>
      <c r="R29" s="68"/>
      <c r="S29" s="68"/>
      <c r="T29" s="68"/>
      <c r="U29" s="74"/>
      <c r="V29" s="74"/>
      <c r="W29" s="24"/>
      <c r="X29" s="24"/>
      <c r="Y29" s="24"/>
      <c r="Z29" s="24"/>
      <c r="AA29" s="25"/>
      <c r="AB29" s="24"/>
      <c r="AC29" s="46"/>
      <c r="IX29" s="8"/>
      <c r="IY29" s="8"/>
      <c r="IZ29" s="8"/>
    </row>
    <row r="30" spans="1:260" ht="15.5" x14ac:dyDescent="0.35">
      <c r="A30" s="57">
        <v>27</v>
      </c>
      <c r="B30" s="21">
        <v>2052</v>
      </c>
      <c r="C30" s="120"/>
      <c r="D30" s="120"/>
      <c r="E30" s="120"/>
      <c r="F30" s="120"/>
      <c r="G30" s="120"/>
      <c r="H30" s="20"/>
      <c r="I30" s="20"/>
      <c r="J30" s="68"/>
      <c r="K30" s="65"/>
      <c r="L30" s="68"/>
      <c r="M30" s="68"/>
      <c r="N30" s="73"/>
      <c r="O30" s="73"/>
      <c r="P30" s="68"/>
      <c r="Q30" s="68"/>
      <c r="R30" s="68"/>
      <c r="S30" s="68"/>
      <c r="T30" s="68"/>
      <c r="U30" s="74"/>
      <c r="V30" s="74"/>
      <c r="W30" s="24"/>
      <c r="X30" s="24"/>
      <c r="Y30" s="24"/>
      <c r="Z30" s="24"/>
      <c r="AA30" s="25"/>
      <c r="AB30" s="24"/>
      <c r="AC30" s="46"/>
      <c r="IX30" s="8"/>
      <c r="IY30" s="8"/>
      <c r="IZ30" s="8"/>
    </row>
    <row r="31" spans="1:260" ht="15.5" x14ac:dyDescent="0.35">
      <c r="A31" s="57">
        <v>28</v>
      </c>
      <c r="B31" s="21">
        <v>2053</v>
      </c>
      <c r="C31" s="120"/>
      <c r="D31" s="120"/>
      <c r="E31" s="120"/>
      <c r="F31" s="120"/>
      <c r="G31" s="120"/>
      <c r="H31" s="20"/>
      <c r="I31" s="20"/>
      <c r="J31" s="68"/>
      <c r="K31" s="65"/>
      <c r="L31" s="68"/>
      <c r="M31" s="68"/>
      <c r="N31" s="73"/>
      <c r="O31" s="73"/>
      <c r="P31" s="68"/>
      <c r="Q31" s="68"/>
      <c r="R31" s="68"/>
      <c r="S31" s="68"/>
      <c r="T31" s="68"/>
      <c r="U31" s="74"/>
      <c r="V31" s="74"/>
      <c r="W31" s="24"/>
      <c r="X31" s="24"/>
      <c r="Y31" s="24"/>
      <c r="Z31" s="24"/>
      <c r="AA31" s="25"/>
      <c r="AB31" s="24"/>
      <c r="AC31" s="46"/>
      <c r="IX31" s="8"/>
      <c r="IY31" s="8"/>
      <c r="IZ31" s="8"/>
    </row>
    <row r="32" spans="1:260" ht="15.5" x14ac:dyDescent="0.35">
      <c r="A32" s="57">
        <v>29</v>
      </c>
      <c r="B32" s="21">
        <v>2054</v>
      </c>
      <c r="C32" s="120"/>
      <c r="D32" s="120"/>
      <c r="E32" s="120"/>
      <c r="F32" s="120"/>
      <c r="G32" s="120"/>
      <c r="H32" s="20"/>
      <c r="I32" s="20"/>
      <c r="J32" s="68"/>
      <c r="K32" s="65"/>
      <c r="L32" s="68"/>
      <c r="M32" s="68"/>
      <c r="N32" s="73"/>
      <c r="O32" s="73"/>
      <c r="P32" s="68"/>
      <c r="Q32" s="68"/>
      <c r="R32" s="68"/>
      <c r="S32" s="68"/>
      <c r="T32" s="68"/>
      <c r="U32" s="74"/>
      <c r="V32" s="74"/>
      <c r="W32" s="24"/>
      <c r="X32" s="24"/>
      <c r="Y32" s="24"/>
      <c r="Z32" s="24"/>
      <c r="AA32" s="25"/>
      <c r="AB32" s="24"/>
      <c r="AC32" s="46"/>
      <c r="IX32" s="8"/>
      <c r="IY32" s="8"/>
      <c r="IZ32" s="8"/>
    </row>
    <row r="33" spans="1:260" ht="15.5" x14ac:dyDescent="0.35">
      <c r="A33" s="4">
        <v>30</v>
      </c>
      <c r="B33" s="21">
        <v>2055</v>
      </c>
      <c r="C33" s="120"/>
      <c r="D33" s="120"/>
      <c r="E33" s="120"/>
      <c r="F33" s="120"/>
      <c r="G33" s="120"/>
      <c r="H33" s="20"/>
      <c r="I33" s="20"/>
      <c r="J33" s="68"/>
      <c r="K33" s="65"/>
      <c r="L33" s="68"/>
      <c r="M33" s="68">
        <f>SUM(M9:M32)</f>
        <v>51836023.799999997</v>
      </c>
      <c r="N33" s="73"/>
      <c r="O33" s="73"/>
      <c r="P33" s="68"/>
      <c r="Q33" s="68"/>
      <c r="R33" s="68"/>
      <c r="S33" s="68"/>
      <c r="T33" s="68">
        <f>SUM(T9:T32)</f>
        <v>84039.888073461145</v>
      </c>
      <c r="U33" s="74"/>
      <c r="V33" s="74"/>
      <c r="W33" s="24"/>
      <c r="X33" s="24"/>
      <c r="Y33" s="24"/>
      <c r="Z33" s="24">
        <f>SUM(Z9:Z32)</f>
        <v>89153205.767999977</v>
      </c>
      <c r="AA33" s="25"/>
      <c r="AB33" s="24"/>
      <c r="AC33" s="46"/>
      <c r="AD33" s="182">
        <f>Z33/(1+0.03)^A33</f>
        <v>36729940.344813168</v>
      </c>
      <c r="AE33" s="79">
        <f>M33/(1+0.03)^A33</f>
        <v>21355755.471551426</v>
      </c>
      <c r="AF33" s="79">
        <f>T33/(1+0.03)^A33</f>
        <v>34623.321157464772</v>
      </c>
      <c r="IX33" s="8"/>
      <c r="IY33" s="8"/>
      <c r="IZ33" s="8"/>
    </row>
    <row r="34" spans="1:260" x14ac:dyDescent="0.3">
      <c r="A34" s="26" t="s">
        <v>13</v>
      </c>
      <c r="B34" s="26"/>
      <c r="C34" s="26"/>
      <c r="D34" s="26"/>
      <c r="E34" s="26"/>
      <c r="F34" s="26"/>
      <c r="G34" s="26"/>
      <c r="H34" s="27"/>
      <c r="I34" s="27"/>
      <c r="J34" s="60"/>
      <c r="K34" s="66"/>
      <c r="L34" s="28"/>
      <c r="M34" s="28"/>
      <c r="N34" s="27"/>
      <c r="O34" s="27"/>
      <c r="P34" s="28"/>
      <c r="Q34" s="28"/>
      <c r="R34" s="28"/>
      <c r="S34" s="28"/>
      <c r="T34" s="28"/>
      <c r="U34" s="75"/>
      <c r="V34" s="75"/>
      <c r="W34" s="28"/>
      <c r="X34" s="28"/>
      <c r="Y34" s="28"/>
      <c r="Z34" s="28"/>
      <c r="AA34" s="28"/>
      <c r="AB34" s="28">
        <f>SUM(AB6:AB33)</f>
        <v>87294539.299729839</v>
      </c>
      <c r="AC34" s="28">
        <f>SUM(AC9:AC33)</f>
        <v>87378579.187803298</v>
      </c>
      <c r="IX34" s="8"/>
      <c r="IY34" s="8"/>
      <c r="IZ34" s="8"/>
    </row>
    <row r="35" spans="1:260" x14ac:dyDescent="0.3">
      <c r="C35" s="77"/>
      <c r="D35" s="77"/>
      <c r="E35" s="77"/>
      <c r="F35" s="77"/>
      <c r="G35" s="77"/>
    </row>
    <row r="36" spans="1:260" ht="16" customHeight="1" x14ac:dyDescent="0.3">
      <c r="A36" s="210" t="s">
        <v>36</v>
      </c>
      <c r="B36" s="210"/>
      <c r="C36" s="210"/>
      <c r="D36" s="210"/>
      <c r="E36" s="210"/>
      <c r="F36" s="210"/>
      <c r="G36" s="210"/>
      <c r="H36" s="210"/>
      <c r="I36" s="210"/>
      <c r="J36" s="210"/>
      <c r="K36" s="210"/>
      <c r="L36" s="210"/>
      <c r="M36" s="210"/>
      <c r="N36" s="210"/>
      <c r="O36" s="210"/>
      <c r="P36" s="210"/>
      <c r="Q36" s="210"/>
      <c r="R36" s="210"/>
      <c r="S36" s="210"/>
    </row>
    <row r="37" spans="1:260" x14ac:dyDescent="0.3">
      <c r="A37" s="211"/>
      <c r="B37" s="211"/>
      <c r="C37" s="78"/>
      <c r="D37" s="78"/>
      <c r="E37" s="78"/>
      <c r="F37" s="78"/>
      <c r="G37" s="78"/>
    </row>
    <row r="38" spans="1:260" ht="28" customHeight="1" x14ac:dyDescent="0.3">
      <c r="A38" s="211"/>
      <c r="B38" s="211"/>
      <c r="C38" s="77"/>
      <c r="D38" s="77"/>
      <c r="E38" s="77"/>
      <c r="F38" s="147"/>
      <c r="G38" s="148" t="s">
        <v>85</v>
      </c>
      <c r="H38" s="148"/>
      <c r="J38" s="8"/>
      <c r="K38" s="8"/>
      <c r="L38" s="8"/>
      <c r="M38" s="8"/>
      <c r="N38" s="8"/>
      <c r="O38" s="8"/>
      <c r="P38" s="8"/>
      <c r="Q38" s="8"/>
      <c r="R38" s="8"/>
      <c r="S38" s="8"/>
      <c r="T38" s="8"/>
      <c r="U38" s="7"/>
      <c r="V38" s="7"/>
    </row>
    <row r="39" spans="1:260" x14ac:dyDescent="0.3">
      <c r="A39" s="211"/>
      <c r="B39" s="211"/>
      <c r="C39" s="77"/>
      <c r="D39" s="77"/>
      <c r="E39" s="77"/>
      <c r="F39" s="77"/>
      <c r="G39" s="77"/>
    </row>
    <row r="40" spans="1:260" x14ac:dyDescent="0.3">
      <c r="A40" s="211"/>
      <c r="B40" s="211"/>
      <c r="C40" s="77"/>
      <c r="D40" s="77"/>
      <c r="E40" s="77"/>
      <c r="F40" s="77"/>
      <c r="G40" s="77"/>
    </row>
    <row r="41" spans="1:260" x14ac:dyDescent="0.3">
      <c r="A41" s="211"/>
      <c r="B41" s="211"/>
      <c r="C41" s="77"/>
      <c r="D41" s="77"/>
      <c r="E41" s="77"/>
      <c r="F41" s="77"/>
      <c r="G41" s="77"/>
    </row>
    <row r="42" spans="1:260" x14ac:dyDescent="0.3">
      <c r="C42" s="77"/>
      <c r="D42" s="77"/>
      <c r="E42" s="77"/>
      <c r="F42" s="77"/>
      <c r="G42" s="77"/>
    </row>
    <row r="43" spans="1:260" x14ac:dyDescent="0.3">
      <c r="A43" s="211"/>
      <c r="B43" s="211"/>
      <c r="C43" s="211"/>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row>
    <row r="44" spans="1:260" x14ac:dyDescent="0.3">
      <c r="A44" s="211"/>
      <c r="B44" s="211"/>
      <c r="C44" s="211"/>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row>
    <row r="45" spans="1:260" x14ac:dyDescent="0.3">
      <c r="A45" s="211"/>
      <c r="B45" s="211"/>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row>
    <row r="46" spans="1:260" ht="17.5" customHeight="1" x14ac:dyDescent="0.3">
      <c r="A46" s="206" t="s">
        <v>22</v>
      </c>
      <c r="B46" s="207"/>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row>
    <row r="47" spans="1:260" ht="17.5" customHeight="1" x14ac:dyDescent="0.3">
      <c r="A47" s="208" t="s">
        <v>39</v>
      </c>
      <c r="B47" s="209"/>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row>
    <row r="48" spans="1:260" ht="141" thickBot="1" x14ac:dyDescent="0.4">
      <c r="A48" s="129" t="s">
        <v>7</v>
      </c>
      <c r="B48" s="129" t="s">
        <v>8</v>
      </c>
      <c r="C48" s="129" t="s">
        <v>103</v>
      </c>
      <c r="D48" s="129" t="s">
        <v>104</v>
      </c>
      <c r="E48" s="129" t="s">
        <v>59</v>
      </c>
      <c r="F48" s="129" t="s">
        <v>50</v>
      </c>
      <c r="G48" s="129" t="s">
        <v>90</v>
      </c>
      <c r="H48" s="129" t="s">
        <v>26</v>
      </c>
      <c r="I48" s="129" t="s">
        <v>91</v>
      </c>
      <c r="J48" s="130" t="s">
        <v>24</v>
      </c>
      <c r="K48" s="131" t="s">
        <v>27</v>
      </c>
      <c r="L48" s="132" t="s">
        <v>92</v>
      </c>
      <c r="M48" s="132" t="s">
        <v>25</v>
      </c>
      <c r="N48" s="129" t="s">
        <v>29</v>
      </c>
      <c r="O48" s="129" t="s">
        <v>93</v>
      </c>
      <c r="P48" s="133" t="s">
        <v>28</v>
      </c>
      <c r="Q48" s="132" t="s">
        <v>30</v>
      </c>
      <c r="R48" s="132" t="s">
        <v>88</v>
      </c>
      <c r="S48" s="132" t="s">
        <v>31</v>
      </c>
      <c r="T48" s="132" t="s">
        <v>32</v>
      </c>
      <c r="U48" s="129" t="s">
        <v>35</v>
      </c>
      <c r="V48" s="129" t="s">
        <v>89</v>
      </c>
      <c r="W48" s="134" t="s">
        <v>23</v>
      </c>
      <c r="X48" s="132" t="s">
        <v>33</v>
      </c>
      <c r="Y48" s="132" t="s">
        <v>94</v>
      </c>
      <c r="Z48" s="132" t="s">
        <v>34</v>
      </c>
      <c r="AA48" s="135" t="s">
        <v>56</v>
      </c>
      <c r="AB48" s="135" t="s">
        <v>19</v>
      </c>
      <c r="AC48" s="43" t="s">
        <v>18</v>
      </c>
    </row>
    <row r="49" spans="1:29" ht="15.5" x14ac:dyDescent="0.35">
      <c r="A49" s="1">
        <v>1</v>
      </c>
      <c r="B49" s="21">
        <v>2025</v>
      </c>
      <c r="C49" s="123"/>
      <c r="D49" s="123"/>
      <c r="E49" s="136"/>
      <c r="F49" s="123"/>
      <c r="G49" s="123"/>
      <c r="H49" s="12"/>
      <c r="I49" s="12"/>
      <c r="J49" s="59"/>
      <c r="K49" s="65"/>
      <c r="L49" s="68"/>
      <c r="M49" s="68"/>
      <c r="N49" s="73"/>
      <c r="O49" s="73"/>
      <c r="P49" s="68"/>
      <c r="Q49" s="68"/>
      <c r="R49" s="68"/>
      <c r="S49" s="68"/>
      <c r="T49" s="68"/>
      <c r="U49" s="74"/>
      <c r="V49" s="74"/>
      <c r="W49" s="22"/>
      <c r="X49" s="22"/>
      <c r="Y49" s="22"/>
      <c r="Z49" s="22"/>
      <c r="AA49" s="25"/>
      <c r="AB49" s="23"/>
      <c r="AC49" s="44"/>
    </row>
    <row r="50" spans="1:29" ht="15.5" x14ac:dyDescent="0.35">
      <c r="A50" s="3">
        <v>2</v>
      </c>
      <c r="B50" s="21">
        <v>2026</v>
      </c>
      <c r="C50" s="123"/>
      <c r="D50" s="123"/>
      <c r="E50" s="136"/>
      <c r="F50" s="123"/>
      <c r="G50" s="123"/>
      <c r="H50" s="12"/>
      <c r="I50" s="12"/>
      <c r="J50" s="59"/>
      <c r="K50" s="65"/>
      <c r="L50" s="68"/>
      <c r="M50" s="68"/>
      <c r="N50" s="73"/>
      <c r="O50" s="73"/>
      <c r="P50" s="68"/>
      <c r="Q50" s="68"/>
      <c r="R50" s="68"/>
      <c r="S50" s="68"/>
      <c r="T50" s="68"/>
      <c r="U50" s="74"/>
      <c r="V50" s="74"/>
      <c r="W50" s="24"/>
      <c r="X50" s="32"/>
      <c r="Y50" s="32"/>
      <c r="Z50" s="22"/>
      <c r="AA50" s="25"/>
      <c r="AB50" s="23"/>
      <c r="AC50" s="44"/>
    </row>
    <row r="51" spans="1:29" ht="15.5" x14ac:dyDescent="0.35">
      <c r="A51" s="3">
        <v>3</v>
      </c>
      <c r="B51" s="21">
        <v>2027</v>
      </c>
      <c r="C51" s="120"/>
      <c r="D51" s="120"/>
      <c r="E51" s="136"/>
      <c r="F51" s="120"/>
      <c r="G51" s="120"/>
      <c r="H51" s="20"/>
      <c r="I51" s="20"/>
      <c r="J51" s="59"/>
      <c r="K51" s="65"/>
      <c r="L51" s="68"/>
      <c r="M51" s="68"/>
      <c r="N51" s="73"/>
      <c r="O51" s="73"/>
      <c r="P51" s="68"/>
      <c r="Q51" s="68"/>
      <c r="R51" s="68"/>
      <c r="S51" s="68"/>
      <c r="T51" s="68"/>
      <c r="U51" s="74"/>
      <c r="V51" s="74"/>
      <c r="W51" s="24"/>
      <c r="X51" s="32"/>
      <c r="Y51" s="32"/>
      <c r="Z51" s="24"/>
      <c r="AA51" s="25"/>
      <c r="AB51" s="24"/>
      <c r="AC51" s="45"/>
    </row>
    <row r="52" spans="1:29" ht="15.5" x14ac:dyDescent="0.35">
      <c r="A52" s="3">
        <v>4</v>
      </c>
      <c r="B52" s="21">
        <v>2028</v>
      </c>
      <c r="C52" s="120"/>
      <c r="D52" s="120"/>
      <c r="E52" s="136"/>
      <c r="F52" s="120"/>
      <c r="G52" s="120"/>
      <c r="H52" s="20"/>
      <c r="I52" s="20"/>
      <c r="J52" s="59"/>
      <c r="K52" s="65"/>
      <c r="L52" s="68"/>
      <c r="M52" s="68"/>
      <c r="N52" s="73"/>
      <c r="O52" s="73"/>
      <c r="P52" s="68"/>
      <c r="Q52" s="68"/>
      <c r="R52" s="68"/>
      <c r="S52" s="68"/>
      <c r="T52" s="68"/>
      <c r="U52" s="74"/>
      <c r="V52" s="74"/>
      <c r="W52" s="24"/>
      <c r="X52" s="32"/>
      <c r="Y52" s="32"/>
      <c r="Z52" s="24"/>
      <c r="AA52" s="25"/>
      <c r="AB52" s="24"/>
      <c r="AC52" s="45"/>
    </row>
    <row r="53" spans="1:29" ht="15.5" x14ac:dyDescent="0.35">
      <c r="A53" s="121">
        <v>5</v>
      </c>
      <c r="B53" s="122">
        <v>2029</v>
      </c>
      <c r="C53" s="120"/>
      <c r="D53" s="120"/>
      <c r="E53" s="136"/>
      <c r="F53" s="120"/>
      <c r="G53" s="120"/>
      <c r="H53" s="20"/>
      <c r="I53" s="20"/>
      <c r="J53" s="59"/>
      <c r="K53" s="68"/>
      <c r="L53" s="68"/>
      <c r="M53" s="68"/>
      <c r="N53" s="73"/>
      <c r="O53" s="73"/>
      <c r="P53" s="68"/>
      <c r="Q53" s="68"/>
      <c r="R53" s="68"/>
      <c r="S53" s="68"/>
      <c r="T53" s="68"/>
      <c r="U53" s="74"/>
      <c r="V53" s="74"/>
      <c r="W53" s="24"/>
      <c r="X53" s="24"/>
      <c r="Y53" s="24"/>
      <c r="Z53" s="24"/>
      <c r="AA53" s="25"/>
      <c r="AB53" s="24"/>
      <c r="AC53" s="45"/>
    </row>
    <row r="54" spans="1:29" ht="15.5" x14ac:dyDescent="0.35">
      <c r="A54" s="124">
        <v>6</v>
      </c>
      <c r="B54" s="125">
        <v>2030</v>
      </c>
      <c r="C54" s="120">
        <f t="shared" ref="C54:C59" si="18">E54*3</f>
        <v>45</v>
      </c>
      <c r="D54" s="120">
        <f t="shared" ref="D54:D73" si="19">E54*3</f>
        <v>45</v>
      </c>
      <c r="E54" s="136">
        <v>15</v>
      </c>
      <c r="F54" s="120">
        <v>36</v>
      </c>
      <c r="G54" s="120">
        <v>12</v>
      </c>
      <c r="H54" s="20">
        <v>1.73E-4</v>
      </c>
      <c r="I54" s="20">
        <v>9.7E-5</v>
      </c>
      <c r="J54" s="59">
        <v>1069000</v>
      </c>
      <c r="K54" s="68">
        <f t="shared" ref="K54:K73" si="20">(C54*F54)*H54*J54</f>
        <v>299597.94</v>
      </c>
      <c r="L54" s="68">
        <f t="shared" ref="L54:L73" si="21">(D54*G54)*I54*J54</f>
        <v>55994.22</v>
      </c>
      <c r="M54" s="68">
        <f t="shared" ref="M54:M73" si="22">K54+L54</f>
        <v>355592.16000000003</v>
      </c>
      <c r="N54" s="73">
        <v>1.325E-3</v>
      </c>
      <c r="O54" s="73">
        <v>1.005E-3</v>
      </c>
      <c r="P54" s="68">
        <v>257</v>
      </c>
      <c r="Q54" s="68">
        <f t="shared" ref="Q54:Q73" si="23">(C54*F54)*N54*P54</f>
        <v>551.65049999999997</v>
      </c>
      <c r="R54" s="68">
        <f t="shared" ref="R54:R73" si="24">(D54*G54)*O54*P54</f>
        <v>139.47390000000001</v>
      </c>
      <c r="S54" s="68">
        <f t="shared" ref="S54:S73" si="25">Q54+R54</f>
        <v>691.12439999999992</v>
      </c>
      <c r="T54" s="68">
        <f t="shared" ref="T54:T73" si="26">S54/(1+0.02)^A54</f>
        <v>613.69868873060261</v>
      </c>
      <c r="U54" s="74">
        <v>1.4123999999999999E-2</v>
      </c>
      <c r="V54" s="74">
        <v>9.4500000000000001E-3</v>
      </c>
      <c r="W54" s="24">
        <v>22000</v>
      </c>
      <c r="X54" s="24">
        <f t="shared" ref="X54:X73" si="27">(C54*F54)*U54*W54</f>
        <v>503379.35999999993</v>
      </c>
      <c r="Y54" s="24">
        <f t="shared" ref="Y54:Y73" si="28">(D54*G54)*V54*W54</f>
        <v>112266</v>
      </c>
      <c r="Z54" s="24">
        <f t="shared" ref="Z54:Z73" si="29">X54+Y54</f>
        <v>615645.35999999987</v>
      </c>
      <c r="AA54" s="25">
        <f t="shared" ref="AA54:AA73" si="30">M54+Z54</f>
        <v>971237.5199999999</v>
      </c>
      <c r="AB54" s="24">
        <f t="shared" ref="AB54:AB73" si="31">AA54/(1+0.03)^A54</f>
        <v>813396.13250047585</v>
      </c>
      <c r="AC54" s="45">
        <f t="shared" ref="AC54:AC73" si="32">T54+AB54</f>
        <v>814009.83118920645</v>
      </c>
    </row>
    <row r="55" spans="1:29" ht="15.5" x14ac:dyDescent="0.35">
      <c r="A55" s="3">
        <v>7</v>
      </c>
      <c r="B55" s="21">
        <v>2031</v>
      </c>
      <c r="C55" s="120">
        <f t="shared" si="18"/>
        <v>48</v>
      </c>
      <c r="D55" s="120">
        <f t="shared" si="19"/>
        <v>48</v>
      </c>
      <c r="E55" s="136">
        <f>E54+1</f>
        <v>16</v>
      </c>
      <c r="F55" s="120">
        <v>36</v>
      </c>
      <c r="G55" s="120">
        <v>12</v>
      </c>
      <c r="H55" s="20">
        <v>1.73E-4</v>
      </c>
      <c r="I55" s="20">
        <v>9.7E-5</v>
      </c>
      <c r="J55" s="59">
        <v>1069000</v>
      </c>
      <c r="K55" s="68">
        <f t="shared" si="20"/>
        <v>319571.136</v>
      </c>
      <c r="L55" s="68">
        <f t="shared" si="21"/>
        <v>59727.167999999998</v>
      </c>
      <c r="M55" s="68">
        <f t="shared" si="22"/>
        <v>379298.304</v>
      </c>
      <c r="N55" s="73">
        <v>1.325E-3</v>
      </c>
      <c r="O55" s="73">
        <v>1.005E-3</v>
      </c>
      <c r="P55" s="68">
        <v>262</v>
      </c>
      <c r="Q55" s="68">
        <f t="shared" si="23"/>
        <v>599.87520000000006</v>
      </c>
      <c r="R55" s="68">
        <f t="shared" si="24"/>
        <v>151.66656</v>
      </c>
      <c r="S55" s="68">
        <f t="shared" si="25"/>
        <v>751.54176000000007</v>
      </c>
      <c r="T55" s="68">
        <f t="shared" si="26"/>
        <v>654.26232882141528</v>
      </c>
      <c r="U55" s="74">
        <v>1.4123999999999999E-2</v>
      </c>
      <c r="V55" s="74">
        <v>9.4500000000000001E-3</v>
      </c>
      <c r="W55" s="24">
        <v>22000</v>
      </c>
      <c r="X55" s="24">
        <f t="shared" si="27"/>
        <v>536937.98399999994</v>
      </c>
      <c r="Y55" s="24">
        <f t="shared" si="28"/>
        <v>119750.39999999999</v>
      </c>
      <c r="Z55" s="24">
        <f t="shared" si="29"/>
        <v>656688.38399999996</v>
      </c>
      <c r="AA55" s="25">
        <f t="shared" si="30"/>
        <v>1035986.688</v>
      </c>
      <c r="AB55" s="24">
        <f t="shared" si="31"/>
        <v>842351.98187751544</v>
      </c>
      <c r="AC55" s="45">
        <f t="shared" si="32"/>
        <v>843006.24420633691</v>
      </c>
    </row>
    <row r="56" spans="1:29" ht="15.5" x14ac:dyDescent="0.35">
      <c r="A56" s="3">
        <v>8</v>
      </c>
      <c r="B56" s="21">
        <v>2032</v>
      </c>
      <c r="C56" s="120">
        <f t="shared" si="18"/>
        <v>51</v>
      </c>
      <c r="D56" s="120">
        <f t="shared" si="19"/>
        <v>51</v>
      </c>
      <c r="E56" s="136">
        <f t="shared" ref="E56:E70" si="33">E55+1</f>
        <v>17</v>
      </c>
      <c r="F56" s="120">
        <v>36</v>
      </c>
      <c r="G56" s="120">
        <v>12</v>
      </c>
      <c r="H56" s="20">
        <v>1.73E-4</v>
      </c>
      <c r="I56" s="20">
        <v>9.7E-5</v>
      </c>
      <c r="J56" s="59">
        <v>1069000</v>
      </c>
      <c r="K56" s="68">
        <f t="shared" si="20"/>
        <v>339544.33199999999</v>
      </c>
      <c r="L56" s="68">
        <f t="shared" si="21"/>
        <v>63460.116000000002</v>
      </c>
      <c r="M56" s="68">
        <f t="shared" si="22"/>
        <v>403004.44799999997</v>
      </c>
      <c r="N56" s="73">
        <v>1.325E-3</v>
      </c>
      <c r="O56" s="73">
        <v>1.005E-3</v>
      </c>
      <c r="P56" s="68">
        <v>265</v>
      </c>
      <c r="Q56" s="68">
        <f t="shared" si="23"/>
        <v>644.66550000000007</v>
      </c>
      <c r="R56" s="68">
        <f t="shared" si="24"/>
        <v>162.99090000000001</v>
      </c>
      <c r="S56" s="68">
        <f t="shared" si="25"/>
        <v>807.65640000000008</v>
      </c>
      <c r="T56" s="68">
        <f t="shared" si="26"/>
        <v>689.32696063006927</v>
      </c>
      <c r="U56" s="74">
        <v>1.4123999999999999E-2</v>
      </c>
      <c r="V56" s="74">
        <v>9.4500000000000001E-3</v>
      </c>
      <c r="W56" s="24">
        <v>22000</v>
      </c>
      <c r="X56" s="24">
        <f t="shared" si="27"/>
        <v>570496.60800000001</v>
      </c>
      <c r="Y56" s="24">
        <f t="shared" si="28"/>
        <v>127234.8</v>
      </c>
      <c r="Z56" s="24">
        <f t="shared" si="29"/>
        <v>697731.40800000005</v>
      </c>
      <c r="AA56" s="25">
        <f t="shared" si="30"/>
        <v>1100735.8560000001</v>
      </c>
      <c r="AB56" s="24">
        <f t="shared" si="31"/>
        <v>868931.04926685477</v>
      </c>
      <c r="AC56" s="45">
        <f t="shared" si="32"/>
        <v>869620.37622748478</v>
      </c>
    </row>
    <row r="57" spans="1:29" ht="15.5" x14ac:dyDescent="0.35">
      <c r="A57" s="3">
        <v>9</v>
      </c>
      <c r="B57" s="21">
        <v>2033</v>
      </c>
      <c r="C57" s="120">
        <f t="shared" si="18"/>
        <v>54</v>
      </c>
      <c r="D57" s="120">
        <f t="shared" si="19"/>
        <v>54</v>
      </c>
      <c r="E57" s="136">
        <f t="shared" si="33"/>
        <v>18</v>
      </c>
      <c r="F57" s="120">
        <v>36</v>
      </c>
      <c r="G57" s="120">
        <v>12</v>
      </c>
      <c r="H57" s="20">
        <v>1.73E-4</v>
      </c>
      <c r="I57" s="20">
        <v>9.7E-5</v>
      </c>
      <c r="J57" s="59">
        <v>1069000</v>
      </c>
      <c r="K57" s="68">
        <f t="shared" si="20"/>
        <v>359517.52799999999</v>
      </c>
      <c r="L57" s="68">
        <f t="shared" si="21"/>
        <v>67193.063999999998</v>
      </c>
      <c r="M57" s="68">
        <f t="shared" si="22"/>
        <v>426710.592</v>
      </c>
      <c r="N57" s="73">
        <v>1.325E-3</v>
      </c>
      <c r="O57" s="73">
        <v>1.005E-3</v>
      </c>
      <c r="P57" s="68">
        <v>270</v>
      </c>
      <c r="Q57" s="68">
        <f t="shared" si="23"/>
        <v>695.46600000000001</v>
      </c>
      <c r="R57" s="68">
        <f t="shared" si="24"/>
        <v>175.8348</v>
      </c>
      <c r="S57" s="68">
        <f t="shared" si="25"/>
        <v>871.30079999999998</v>
      </c>
      <c r="T57" s="68">
        <f t="shared" si="26"/>
        <v>729.06553255905999</v>
      </c>
      <c r="U57" s="74">
        <v>1.4123999999999999E-2</v>
      </c>
      <c r="V57" s="74">
        <v>9.4500000000000001E-3</v>
      </c>
      <c r="W57" s="24">
        <v>22000</v>
      </c>
      <c r="X57" s="24">
        <f t="shared" si="27"/>
        <v>604055.23199999996</v>
      </c>
      <c r="Y57" s="24">
        <f t="shared" si="28"/>
        <v>134719.19999999998</v>
      </c>
      <c r="Z57" s="24">
        <f t="shared" si="29"/>
        <v>738774.43199999991</v>
      </c>
      <c r="AA57" s="25">
        <f t="shared" si="30"/>
        <v>1165485.024</v>
      </c>
      <c r="AB57" s="24">
        <f t="shared" si="31"/>
        <v>893247.22368951363</v>
      </c>
      <c r="AC57" s="45">
        <f t="shared" si="32"/>
        <v>893976.28922207269</v>
      </c>
    </row>
    <row r="58" spans="1:29" ht="15.5" x14ac:dyDescent="0.35">
      <c r="A58" s="3">
        <v>10</v>
      </c>
      <c r="B58" s="21">
        <v>2034</v>
      </c>
      <c r="C58" s="120">
        <f t="shared" si="18"/>
        <v>57</v>
      </c>
      <c r="D58" s="120">
        <f t="shared" si="19"/>
        <v>57</v>
      </c>
      <c r="E58" s="146">
        <f t="shared" si="33"/>
        <v>19</v>
      </c>
      <c r="F58" s="120">
        <v>36</v>
      </c>
      <c r="G58" s="120">
        <v>12</v>
      </c>
      <c r="H58" s="20">
        <v>1.73E-4</v>
      </c>
      <c r="I58" s="20">
        <v>9.7E-5</v>
      </c>
      <c r="J58" s="59">
        <v>1069000</v>
      </c>
      <c r="K58" s="68">
        <f t="shared" si="20"/>
        <v>379490.72400000005</v>
      </c>
      <c r="L58" s="68">
        <f t="shared" si="21"/>
        <v>70926.012000000002</v>
      </c>
      <c r="M58" s="68">
        <f t="shared" si="22"/>
        <v>450416.73600000003</v>
      </c>
      <c r="N58" s="73">
        <v>1.325E-3</v>
      </c>
      <c r="O58" s="73">
        <v>1.005E-3</v>
      </c>
      <c r="P58" s="68">
        <v>274</v>
      </c>
      <c r="Q58" s="68">
        <f t="shared" si="23"/>
        <v>744.97860000000003</v>
      </c>
      <c r="R58" s="68">
        <f t="shared" si="24"/>
        <v>188.35308000000001</v>
      </c>
      <c r="S58" s="68">
        <f t="shared" si="25"/>
        <v>933.33168000000001</v>
      </c>
      <c r="T58" s="68">
        <f t="shared" si="26"/>
        <v>765.65705690762252</v>
      </c>
      <c r="U58" s="74">
        <v>1.4123999999999999E-2</v>
      </c>
      <c r="V58" s="74">
        <v>9.4500000000000001E-3</v>
      </c>
      <c r="W58" s="24">
        <v>22000</v>
      </c>
      <c r="X58" s="24">
        <f t="shared" si="27"/>
        <v>637613.85599999991</v>
      </c>
      <c r="Y58" s="24">
        <f t="shared" si="28"/>
        <v>142203.6</v>
      </c>
      <c r="Z58" s="24">
        <f t="shared" si="29"/>
        <v>779817.45599999989</v>
      </c>
      <c r="AA58" s="25">
        <f t="shared" si="30"/>
        <v>1230234.1919999998</v>
      </c>
      <c r="AB58" s="24">
        <f t="shared" si="31"/>
        <v>915409.77616508934</v>
      </c>
      <c r="AC58" s="45">
        <f t="shared" si="32"/>
        <v>916175.43322199699</v>
      </c>
    </row>
    <row r="59" spans="1:29" ht="15.5" x14ac:dyDescent="0.35">
      <c r="A59" s="121">
        <v>11</v>
      </c>
      <c r="B59" s="122">
        <v>2035</v>
      </c>
      <c r="C59" s="120">
        <f t="shared" si="18"/>
        <v>60</v>
      </c>
      <c r="D59" s="120">
        <f t="shared" si="19"/>
        <v>60</v>
      </c>
      <c r="E59" s="136">
        <f t="shared" si="33"/>
        <v>20</v>
      </c>
      <c r="F59" s="120">
        <v>36</v>
      </c>
      <c r="G59" s="120">
        <v>12</v>
      </c>
      <c r="H59" s="20">
        <v>1.73E-4</v>
      </c>
      <c r="I59" s="20">
        <v>9.7E-5</v>
      </c>
      <c r="J59" s="59">
        <v>1069000</v>
      </c>
      <c r="K59" s="68">
        <f t="shared" si="20"/>
        <v>399463.92000000004</v>
      </c>
      <c r="L59" s="68">
        <f t="shared" si="21"/>
        <v>74658.960000000006</v>
      </c>
      <c r="M59" s="68">
        <f t="shared" si="22"/>
        <v>474122.88000000006</v>
      </c>
      <c r="N59" s="73">
        <v>1.325E-3</v>
      </c>
      <c r="O59" s="73">
        <v>1.005E-3</v>
      </c>
      <c r="P59" s="68">
        <v>278</v>
      </c>
      <c r="Q59" s="68">
        <f t="shared" si="23"/>
        <v>795.63600000000008</v>
      </c>
      <c r="R59" s="68">
        <f t="shared" si="24"/>
        <v>201.16079999999999</v>
      </c>
      <c r="S59" s="68">
        <f t="shared" si="25"/>
        <v>996.79680000000008</v>
      </c>
      <c r="T59" s="68">
        <f t="shared" si="26"/>
        <v>801.68682372646606</v>
      </c>
      <c r="U59" s="74">
        <v>1.4123999999999999E-2</v>
      </c>
      <c r="V59" s="74">
        <v>9.4500000000000001E-3</v>
      </c>
      <c r="W59" s="24">
        <v>22000</v>
      </c>
      <c r="X59" s="24">
        <f t="shared" si="27"/>
        <v>671172.48</v>
      </c>
      <c r="Y59" s="24">
        <f t="shared" si="28"/>
        <v>149688</v>
      </c>
      <c r="Z59" s="24">
        <f t="shared" si="29"/>
        <v>820860.48</v>
      </c>
      <c r="AA59" s="25">
        <f t="shared" si="30"/>
        <v>1294983.3600000001</v>
      </c>
      <c r="AB59" s="24">
        <f t="shared" si="31"/>
        <v>935523.53210535459</v>
      </c>
      <c r="AC59" s="45">
        <f t="shared" si="32"/>
        <v>936325.21892908111</v>
      </c>
    </row>
    <row r="60" spans="1:29" ht="15.5" x14ac:dyDescent="0.35">
      <c r="A60" s="3">
        <v>12</v>
      </c>
      <c r="B60" s="21">
        <v>2036</v>
      </c>
      <c r="C60" s="120">
        <f t="shared" ref="C60:C73" si="34">E60*3</f>
        <v>63</v>
      </c>
      <c r="D60" s="120">
        <f t="shared" si="19"/>
        <v>63</v>
      </c>
      <c r="E60" s="136">
        <f t="shared" si="33"/>
        <v>21</v>
      </c>
      <c r="F60" s="120">
        <v>36</v>
      </c>
      <c r="G60" s="120">
        <v>12</v>
      </c>
      <c r="H60" s="20">
        <v>1.73E-4</v>
      </c>
      <c r="I60" s="20">
        <v>9.7E-5</v>
      </c>
      <c r="J60" s="59">
        <v>1069000</v>
      </c>
      <c r="K60" s="68">
        <f t="shared" si="20"/>
        <v>419437.11599999998</v>
      </c>
      <c r="L60" s="68">
        <f t="shared" si="21"/>
        <v>78391.907999999996</v>
      </c>
      <c r="M60" s="68">
        <f t="shared" si="22"/>
        <v>497829.02399999998</v>
      </c>
      <c r="N60" s="73">
        <v>1.325E-3</v>
      </c>
      <c r="O60" s="73">
        <v>1.005E-3</v>
      </c>
      <c r="P60" s="68">
        <v>282</v>
      </c>
      <c r="Q60" s="68">
        <f t="shared" si="23"/>
        <v>847.43820000000005</v>
      </c>
      <c r="R60" s="68">
        <f t="shared" si="24"/>
        <v>214.25796</v>
      </c>
      <c r="S60" s="68">
        <f t="shared" si="25"/>
        <v>1061.69616</v>
      </c>
      <c r="T60" s="68">
        <f t="shared" si="26"/>
        <v>837.14017670125031</v>
      </c>
      <c r="U60" s="74">
        <v>1.4123999999999999E-2</v>
      </c>
      <c r="V60" s="74">
        <v>9.4500000000000001E-3</v>
      </c>
      <c r="W60" s="24">
        <v>22000</v>
      </c>
      <c r="X60" s="24">
        <f t="shared" si="27"/>
        <v>704731.10399999993</v>
      </c>
      <c r="Y60" s="24">
        <f t="shared" si="28"/>
        <v>157172.4</v>
      </c>
      <c r="Z60" s="24">
        <f t="shared" si="29"/>
        <v>861903.50399999996</v>
      </c>
      <c r="AA60" s="25">
        <f t="shared" si="30"/>
        <v>1359732.5279999999</v>
      </c>
      <c r="AB60" s="24">
        <f t="shared" si="31"/>
        <v>953689.03758312855</v>
      </c>
      <c r="AC60" s="45">
        <f t="shared" si="32"/>
        <v>954526.17775982979</v>
      </c>
    </row>
    <row r="61" spans="1:29" ht="15.5" x14ac:dyDescent="0.35">
      <c r="A61" s="3">
        <v>13</v>
      </c>
      <c r="B61" s="21">
        <v>2037</v>
      </c>
      <c r="C61" s="120">
        <f t="shared" si="34"/>
        <v>66</v>
      </c>
      <c r="D61" s="120">
        <f t="shared" si="19"/>
        <v>66</v>
      </c>
      <c r="E61" s="136">
        <f t="shared" si="33"/>
        <v>22</v>
      </c>
      <c r="F61" s="120">
        <v>36</v>
      </c>
      <c r="G61" s="120">
        <v>12</v>
      </c>
      <c r="H61" s="20">
        <v>1.73E-4</v>
      </c>
      <c r="I61" s="20">
        <v>9.7E-5</v>
      </c>
      <c r="J61" s="59">
        <v>1069000</v>
      </c>
      <c r="K61" s="68">
        <f t="shared" si="20"/>
        <v>439410.31200000003</v>
      </c>
      <c r="L61" s="68">
        <f t="shared" si="21"/>
        <v>82124.856</v>
      </c>
      <c r="M61" s="68">
        <f t="shared" si="22"/>
        <v>521535.16800000006</v>
      </c>
      <c r="N61" s="73">
        <v>1.325E-3</v>
      </c>
      <c r="O61" s="73">
        <v>1.005E-3</v>
      </c>
      <c r="P61" s="68">
        <v>287</v>
      </c>
      <c r="Q61" s="68">
        <f t="shared" si="23"/>
        <v>903.53340000000003</v>
      </c>
      <c r="R61" s="68">
        <f t="shared" si="24"/>
        <v>228.44051999999999</v>
      </c>
      <c r="S61" s="68">
        <f t="shared" si="25"/>
        <v>1131.9739199999999</v>
      </c>
      <c r="T61" s="68">
        <f t="shared" si="26"/>
        <v>875.05265770236849</v>
      </c>
      <c r="U61" s="74">
        <v>1.4123999999999999E-2</v>
      </c>
      <c r="V61" s="74">
        <v>9.4500000000000001E-3</v>
      </c>
      <c r="W61" s="24">
        <v>22000</v>
      </c>
      <c r="X61" s="24">
        <f t="shared" si="27"/>
        <v>738289.728</v>
      </c>
      <c r="Y61" s="24">
        <f t="shared" si="28"/>
        <v>164656.79999999999</v>
      </c>
      <c r="Z61" s="24">
        <f t="shared" si="29"/>
        <v>902946.52799999993</v>
      </c>
      <c r="AA61" s="25">
        <f t="shared" si="30"/>
        <v>1424481.696</v>
      </c>
      <c r="AB61" s="24">
        <f t="shared" si="31"/>
        <v>970002.71968695475</v>
      </c>
      <c r="AC61" s="45">
        <f t="shared" si="32"/>
        <v>970877.7723446571</v>
      </c>
    </row>
    <row r="62" spans="1:29" ht="15.5" x14ac:dyDescent="0.35">
      <c r="A62" s="3">
        <v>14</v>
      </c>
      <c r="B62" s="21">
        <v>2038</v>
      </c>
      <c r="C62" s="120">
        <f t="shared" si="34"/>
        <v>69</v>
      </c>
      <c r="D62" s="120">
        <f t="shared" si="19"/>
        <v>69</v>
      </c>
      <c r="E62" s="136">
        <f t="shared" si="33"/>
        <v>23</v>
      </c>
      <c r="F62" s="120">
        <v>36</v>
      </c>
      <c r="G62" s="120">
        <v>12</v>
      </c>
      <c r="H62" s="20">
        <v>1.73E-4</v>
      </c>
      <c r="I62" s="20">
        <v>9.7E-5</v>
      </c>
      <c r="J62" s="59">
        <v>1069000</v>
      </c>
      <c r="K62" s="68">
        <f t="shared" si="20"/>
        <v>459383.50800000003</v>
      </c>
      <c r="L62" s="68">
        <f t="shared" si="21"/>
        <v>85857.804000000004</v>
      </c>
      <c r="M62" s="68">
        <f t="shared" si="22"/>
        <v>545241.31200000003</v>
      </c>
      <c r="N62" s="73">
        <v>1.325E-3</v>
      </c>
      <c r="O62" s="73">
        <v>1.005E-3</v>
      </c>
      <c r="P62" s="68">
        <v>290</v>
      </c>
      <c r="Q62" s="68">
        <f t="shared" si="23"/>
        <v>954.47700000000009</v>
      </c>
      <c r="R62" s="68">
        <f t="shared" si="24"/>
        <v>241.32059999999998</v>
      </c>
      <c r="S62" s="68">
        <f t="shared" si="25"/>
        <v>1195.7976000000001</v>
      </c>
      <c r="T62" s="68">
        <f t="shared" si="26"/>
        <v>906.26513550261757</v>
      </c>
      <c r="U62" s="74">
        <v>1.4123999999999999E-2</v>
      </c>
      <c r="V62" s="74">
        <v>9.4500000000000001E-3</v>
      </c>
      <c r="W62" s="24">
        <v>22000</v>
      </c>
      <c r="X62" s="24">
        <f t="shared" si="27"/>
        <v>771848.35199999996</v>
      </c>
      <c r="Y62" s="24">
        <f t="shared" si="28"/>
        <v>172141.2</v>
      </c>
      <c r="Z62" s="24">
        <f t="shared" si="29"/>
        <v>943989.55199999991</v>
      </c>
      <c r="AA62" s="25">
        <f t="shared" si="30"/>
        <v>1489230.8640000001</v>
      </c>
      <c r="AB62" s="24">
        <f t="shared" si="31"/>
        <v>984557.04116504663</v>
      </c>
      <c r="AC62" s="45">
        <f t="shared" si="32"/>
        <v>985463.3063005493</v>
      </c>
    </row>
    <row r="63" spans="1:29" ht="15.5" x14ac:dyDescent="0.35">
      <c r="A63" s="3">
        <v>15</v>
      </c>
      <c r="B63" s="21">
        <v>2039</v>
      </c>
      <c r="C63" s="120">
        <f t="shared" si="34"/>
        <v>72</v>
      </c>
      <c r="D63" s="120">
        <f t="shared" si="19"/>
        <v>72</v>
      </c>
      <c r="E63" s="136">
        <f t="shared" si="33"/>
        <v>24</v>
      </c>
      <c r="F63" s="120">
        <v>36</v>
      </c>
      <c r="G63" s="120">
        <v>12</v>
      </c>
      <c r="H63" s="20">
        <v>1.73E-4</v>
      </c>
      <c r="I63" s="20">
        <v>9.7E-5</v>
      </c>
      <c r="J63" s="59">
        <v>1069000</v>
      </c>
      <c r="K63" s="68">
        <f t="shared" si="20"/>
        <v>479356.70400000003</v>
      </c>
      <c r="L63" s="68">
        <f t="shared" si="21"/>
        <v>89590.751999999993</v>
      </c>
      <c r="M63" s="68">
        <f t="shared" si="22"/>
        <v>568947.45600000001</v>
      </c>
      <c r="N63" s="73">
        <v>1.325E-3</v>
      </c>
      <c r="O63" s="73">
        <v>1.005E-3</v>
      </c>
      <c r="P63" s="68">
        <v>294</v>
      </c>
      <c r="Q63" s="68">
        <f t="shared" si="23"/>
        <v>1009.7136</v>
      </c>
      <c r="R63" s="68">
        <f t="shared" si="24"/>
        <v>255.28608</v>
      </c>
      <c r="S63" s="68">
        <f t="shared" si="25"/>
        <v>1264.9996800000001</v>
      </c>
      <c r="T63" s="68">
        <f t="shared" si="26"/>
        <v>939.91339567076341</v>
      </c>
      <c r="U63" s="74">
        <v>1.4123999999999999E-2</v>
      </c>
      <c r="V63" s="74">
        <v>9.4500000000000001E-3</v>
      </c>
      <c r="W63" s="24">
        <v>22000</v>
      </c>
      <c r="X63" s="24">
        <f t="shared" si="27"/>
        <v>805406.97600000002</v>
      </c>
      <c r="Y63" s="24">
        <f t="shared" si="28"/>
        <v>179625.60000000001</v>
      </c>
      <c r="Z63" s="24">
        <f t="shared" si="29"/>
        <v>985032.576</v>
      </c>
      <c r="AA63" s="25">
        <f t="shared" si="30"/>
        <v>1553980.0320000001</v>
      </c>
      <c r="AB63" s="24">
        <f t="shared" si="31"/>
        <v>997440.64955513377</v>
      </c>
      <c r="AC63" s="45">
        <f t="shared" si="32"/>
        <v>998380.56295080448</v>
      </c>
    </row>
    <row r="64" spans="1:29" ht="15.5" x14ac:dyDescent="0.35">
      <c r="A64" s="3">
        <v>16</v>
      </c>
      <c r="B64" s="21">
        <v>2040</v>
      </c>
      <c r="C64" s="120">
        <f t="shared" si="34"/>
        <v>72</v>
      </c>
      <c r="D64" s="120">
        <f t="shared" si="19"/>
        <v>72</v>
      </c>
      <c r="E64" s="136">
        <v>24</v>
      </c>
      <c r="F64" s="120">
        <v>36</v>
      </c>
      <c r="G64" s="120">
        <v>12</v>
      </c>
      <c r="H64" s="20">
        <v>1.73E-4</v>
      </c>
      <c r="I64" s="20">
        <v>9.7E-5</v>
      </c>
      <c r="J64" s="59">
        <v>1069000</v>
      </c>
      <c r="K64" s="68">
        <f t="shared" si="20"/>
        <v>479356.70400000003</v>
      </c>
      <c r="L64" s="68">
        <f t="shared" si="21"/>
        <v>89590.751999999993</v>
      </c>
      <c r="M64" s="68">
        <f t="shared" si="22"/>
        <v>568947.45600000001</v>
      </c>
      <c r="N64" s="73">
        <v>1.325E-3</v>
      </c>
      <c r="O64" s="73">
        <v>1.005E-3</v>
      </c>
      <c r="P64" s="68">
        <v>299</v>
      </c>
      <c r="Q64" s="68">
        <f t="shared" si="23"/>
        <v>1026.8856000000001</v>
      </c>
      <c r="R64" s="68">
        <f t="shared" si="24"/>
        <v>259.62768</v>
      </c>
      <c r="S64" s="68">
        <f t="shared" si="25"/>
        <v>1286.5132800000001</v>
      </c>
      <c r="T64" s="68">
        <f t="shared" si="26"/>
        <v>937.15521310376892</v>
      </c>
      <c r="U64" s="74">
        <v>1.4123999999999999E-2</v>
      </c>
      <c r="V64" s="74">
        <v>9.4500000000000001E-3</v>
      </c>
      <c r="W64" s="24">
        <v>22000</v>
      </c>
      <c r="X64" s="24">
        <f t="shared" si="27"/>
        <v>805406.97600000002</v>
      </c>
      <c r="Y64" s="24">
        <f t="shared" si="28"/>
        <v>179625.60000000001</v>
      </c>
      <c r="Z64" s="24">
        <f t="shared" si="29"/>
        <v>985032.576</v>
      </c>
      <c r="AA64" s="25">
        <f t="shared" si="30"/>
        <v>1553980.0320000001</v>
      </c>
      <c r="AB64" s="24">
        <f t="shared" si="31"/>
        <v>968388.98015061545</v>
      </c>
      <c r="AC64" s="45">
        <f t="shared" si="32"/>
        <v>969326.13536371919</v>
      </c>
    </row>
    <row r="65" spans="1:29" ht="15.5" x14ac:dyDescent="0.35">
      <c r="A65" s="3">
        <v>17</v>
      </c>
      <c r="B65" s="21">
        <v>2041</v>
      </c>
      <c r="C65" s="120">
        <f t="shared" si="34"/>
        <v>75</v>
      </c>
      <c r="D65" s="120">
        <f t="shared" si="19"/>
        <v>75</v>
      </c>
      <c r="E65" s="146">
        <f>E64+1</f>
        <v>25</v>
      </c>
      <c r="F65" s="120">
        <v>36</v>
      </c>
      <c r="G65" s="120">
        <v>12</v>
      </c>
      <c r="H65" s="20">
        <v>1.73E-4</v>
      </c>
      <c r="I65" s="20">
        <v>9.7E-5</v>
      </c>
      <c r="J65" s="59">
        <v>1069000</v>
      </c>
      <c r="K65" s="68">
        <f t="shared" si="20"/>
        <v>499329.9</v>
      </c>
      <c r="L65" s="68">
        <f t="shared" si="21"/>
        <v>93323.7</v>
      </c>
      <c r="M65" s="68">
        <f t="shared" si="22"/>
        <v>592653.6</v>
      </c>
      <c r="N65" s="73">
        <v>1.325E-3</v>
      </c>
      <c r="O65" s="73">
        <v>1.005E-3</v>
      </c>
      <c r="P65" s="68">
        <v>303</v>
      </c>
      <c r="Q65" s="68">
        <f t="shared" si="23"/>
        <v>1083.9825000000001</v>
      </c>
      <c r="R65" s="68">
        <f t="shared" si="24"/>
        <v>274.06350000000003</v>
      </c>
      <c r="S65" s="68">
        <f t="shared" si="25"/>
        <v>1358.046</v>
      </c>
      <c r="T65" s="68">
        <f t="shared" si="26"/>
        <v>969.86561130525615</v>
      </c>
      <c r="U65" s="74">
        <v>1.4123999999999999E-2</v>
      </c>
      <c r="V65" s="74">
        <v>9.4500000000000001E-3</v>
      </c>
      <c r="W65" s="24">
        <v>22000</v>
      </c>
      <c r="X65" s="24">
        <f t="shared" si="27"/>
        <v>838965.6</v>
      </c>
      <c r="Y65" s="24">
        <f t="shared" si="28"/>
        <v>187110.00000000003</v>
      </c>
      <c r="Z65" s="24">
        <f t="shared" si="29"/>
        <v>1026075.6</v>
      </c>
      <c r="AA65" s="25">
        <f t="shared" si="30"/>
        <v>1618729.2</v>
      </c>
      <c r="AB65" s="24">
        <f t="shared" si="31"/>
        <v>979357.78736914985</v>
      </c>
      <c r="AC65" s="45">
        <f t="shared" si="32"/>
        <v>980327.65298045508</v>
      </c>
    </row>
    <row r="66" spans="1:29" ht="15.5" x14ac:dyDescent="0.35">
      <c r="A66" s="3">
        <v>18</v>
      </c>
      <c r="B66" s="21">
        <v>2042</v>
      </c>
      <c r="C66" s="120">
        <f t="shared" si="34"/>
        <v>78</v>
      </c>
      <c r="D66" s="120">
        <f t="shared" si="19"/>
        <v>78</v>
      </c>
      <c r="E66" s="136">
        <f t="shared" si="33"/>
        <v>26</v>
      </c>
      <c r="F66" s="120">
        <v>36</v>
      </c>
      <c r="G66" s="120">
        <v>12</v>
      </c>
      <c r="H66" s="20">
        <v>1.73E-4</v>
      </c>
      <c r="I66" s="20">
        <v>9.7E-5</v>
      </c>
      <c r="J66" s="59">
        <v>1069000</v>
      </c>
      <c r="K66" s="68">
        <f t="shared" si="20"/>
        <v>519303.09600000002</v>
      </c>
      <c r="L66" s="68">
        <f t="shared" si="21"/>
        <v>97056.648000000001</v>
      </c>
      <c r="M66" s="68">
        <f t="shared" si="22"/>
        <v>616359.74400000006</v>
      </c>
      <c r="N66" s="73">
        <v>1.325E-3</v>
      </c>
      <c r="O66" s="73">
        <v>1.005E-3</v>
      </c>
      <c r="P66" s="68">
        <v>308</v>
      </c>
      <c r="Q66" s="68">
        <f t="shared" si="23"/>
        <v>1145.9448</v>
      </c>
      <c r="R66" s="68">
        <f t="shared" si="24"/>
        <v>289.72944000000001</v>
      </c>
      <c r="S66" s="68">
        <f t="shared" si="25"/>
        <v>1435.6742400000001</v>
      </c>
      <c r="T66" s="68">
        <f t="shared" si="26"/>
        <v>1005.2007785326463</v>
      </c>
      <c r="U66" s="74">
        <v>1.4123999999999999E-2</v>
      </c>
      <c r="V66" s="74">
        <v>9.4500000000000001E-3</v>
      </c>
      <c r="W66" s="24">
        <v>22000</v>
      </c>
      <c r="X66" s="24">
        <f t="shared" si="27"/>
        <v>872524.22399999993</v>
      </c>
      <c r="Y66" s="24">
        <f t="shared" si="28"/>
        <v>194594.4</v>
      </c>
      <c r="Z66" s="24">
        <f t="shared" si="29"/>
        <v>1067118.6239999998</v>
      </c>
      <c r="AA66" s="25">
        <f t="shared" si="30"/>
        <v>1683478.3679999998</v>
      </c>
      <c r="AB66" s="24">
        <f t="shared" si="31"/>
        <v>988866.11540185986</v>
      </c>
      <c r="AC66" s="45">
        <f t="shared" si="32"/>
        <v>989871.31618039252</v>
      </c>
    </row>
    <row r="67" spans="1:29" ht="15.5" x14ac:dyDescent="0.35">
      <c r="A67" s="3">
        <v>19</v>
      </c>
      <c r="B67" s="21">
        <v>2043</v>
      </c>
      <c r="C67" s="120">
        <f t="shared" si="34"/>
        <v>81</v>
      </c>
      <c r="D67" s="120">
        <f t="shared" si="19"/>
        <v>81</v>
      </c>
      <c r="E67" s="136">
        <f t="shared" si="33"/>
        <v>27</v>
      </c>
      <c r="F67" s="120">
        <v>36</v>
      </c>
      <c r="G67" s="120">
        <v>12</v>
      </c>
      <c r="H67" s="20">
        <v>1.73E-4</v>
      </c>
      <c r="I67" s="20">
        <v>9.7E-5</v>
      </c>
      <c r="J67" s="59">
        <v>1069000</v>
      </c>
      <c r="K67" s="68">
        <f t="shared" si="20"/>
        <v>539276.29200000002</v>
      </c>
      <c r="L67" s="68">
        <f t="shared" si="21"/>
        <v>100789.59599999999</v>
      </c>
      <c r="M67" s="68">
        <f t="shared" si="22"/>
        <v>640065.88800000004</v>
      </c>
      <c r="N67" s="73">
        <v>1.325E-3</v>
      </c>
      <c r="O67" s="73">
        <v>1.005E-3</v>
      </c>
      <c r="P67" s="68">
        <v>312</v>
      </c>
      <c r="Q67" s="68">
        <f t="shared" si="23"/>
        <v>1205.4744000000001</v>
      </c>
      <c r="R67" s="68">
        <f t="shared" si="24"/>
        <v>304.78032000000002</v>
      </c>
      <c r="S67" s="68">
        <f t="shared" si="25"/>
        <v>1510.2547200000001</v>
      </c>
      <c r="T67" s="68">
        <f t="shared" si="26"/>
        <v>1036.6852948961593</v>
      </c>
      <c r="U67" s="74">
        <v>1.4123999999999999E-2</v>
      </c>
      <c r="V67" s="74">
        <v>9.4500000000000001E-3</v>
      </c>
      <c r="W67" s="24">
        <v>22000</v>
      </c>
      <c r="X67" s="24">
        <f t="shared" si="27"/>
        <v>906082.848</v>
      </c>
      <c r="Y67" s="24">
        <f t="shared" si="28"/>
        <v>202078.8</v>
      </c>
      <c r="Z67" s="24">
        <f t="shared" si="29"/>
        <v>1108161.648</v>
      </c>
      <c r="AA67" s="25">
        <f t="shared" si="30"/>
        <v>1748227.5360000001</v>
      </c>
      <c r="AB67" s="24">
        <f t="shared" si="31"/>
        <v>996989.73546864162</v>
      </c>
      <c r="AC67" s="45">
        <f t="shared" si="32"/>
        <v>998026.42076353775</v>
      </c>
    </row>
    <row r="68" spans="1:29" ht="15.5" x14ac:dyDescent="0.35">
      <c r="A68" s="57">
        <v>20</v>
      </c>
      <c r="B68" s="21">
        <v>2044</v>
      </c>
      <c r="C68" s="120">
        <f t="shared" si="34"/>
        <v>84</v>
      </c>
      <c r="D68" s="120">
        <f t="shared" si="19"/>
        <v>84</v>
      </c>
      <c r="E68" s="136">
        <f t="shared" si="33"/>
        <v>28</v>
      </c>
      <c r="F68" s="120">
        <v>36</v>
      </c>
      <c r="G68" s="120">
        <v>12</v>
      </c>
      <c r="H68" s="20">
        <v>1.73E-4</v>
      </c>
      <c r="I68" s="20">
        <v>9.7E-5</v>
      </c>
      <c r="J68" s="59">
        <v>1069000</v>
      </c>
      <c r="K68" s="68">
        <f t="shared" si="20"/>
        <v>559249.48800000001</v>
      </c>
      <c r="L68" s="68">
        <f t="shared" si="21"/>
        <v>104522.54400000001</v>
      </c>
      <c r="M68" s="68">
        <f t="shared" si="22"/>
        <v>663772.03200000001</v>
      </c>
      <c r="N68" s="73">
        <v>1.325E-3</v>
      </c>
      <c r="O68" s="73">
        <v>1.005E-3</v>
      </c>
      <c r="P68" s="68">
        <v>317</v>
      </c>
      <c r="Q68" s="68">
        <f t="shared" si="23"/>
        <v>1270.1556</v>
      </c>
      <c r="R68" s="68">
        <f t="shared" si="24"/>
        <v>321.13367999999997</v>
      </c>
      <c r="S68" s="68">
        <f t="shared" si="25"/>
        <v>1591.28928</v>
      </c>
      <c r="T68" s="68">
        <f t="shared" si="26"/>
        <v>1070.8920681221614</v>
      </c>
      <c r="U68" s="74">
        <v>1.4123999999999999E-2</v>
      </c>
      <c r="V68" s="74">
        <v>9.4500000000000001E-3</v>
      </c>
      <c r="W68" s="24">
        <v>22000</v>
      </c>
      <c r="X68" s="24">
        <f t="shared" si="27"/>
        <v>939641.47199999995</v>
      </c>
      <c r="Y68" s="24">
        <f t="shared" si="28"/>
        <v>209563.2</v>
      </c>
      <c r="Z68" s="24">
        <f t="shared" si="29"/>
        <v>1149204.672</v>
      </c>
      <c r="AA68" s="25">
        <f t="shared" si="30"/>
        <v>1812976.7039999999</v>
      </c>
      <c r="AB68" s="24">
        <f t="shared" si="31"/>
        <v>1003801.2439094557</v>
      </c>
      <c r="AC68" s="45">
        <f t="shared" si="32"/>
        <v>1004872.1359775779</v>
      </c>
    </row>
    <row r="69" spans="1:29" ht="15.5" x14ac:dyDescent="0.35">
      <c r="A69" s="57">
        <v>21</v>
      </c>
      <c r="B69" s="21">
        <v>2045</v>
      </c>
      <c r="C69" s="120">
        <f t="shared" si="34"/>
        <v>87</v>
      </c>
      <c r="D69" s="120">
        <f t="shared" si="19"/>
        <v>87</v>
      </c>
      <c r="E69" s="136">
        <f t="shared" si="33"/>
        <v>29</v>
      </c>
      <c r="F69" s="120">
        <v>36</v>
      </c>
      <c r="G69" s="120">
        <v>12</v>
      </c>
      <c r="H69" s="20">
        <v>1.73E-4</v>
      </c>
      <c r="I69" s="20">
        <v>9.7E-5</v>
      </c>
      <c r="J69" s="59">
        <v>1069000</v>
      </c>
      <c r="K69" s="68">
        <f t="shared" si="20"/>
        <v>579222.68400000001</v>
      </c>
      <c r="L69" s="68">
        <f t="shared" si="21"/>
        <v>108255.492</v>
      </c>
      <c r="M69" s="68">
        <f t="shared" si="22"/>
        <v>687478.17599999998</v>
      </c>
      <c r="N69" s="73">
        <v>1.325E-3</v>
      </c>
      <c r="O69" s="73">
        <v>1.005E-3</v>
      </c>
      <c r="P69" s="68">
        <v>321</v>
      </c>
      <c r="Q69" s="68">
        <f t="shared" si="23"/>
        <v>1332.1179</v>
      </c>
      <c r="R69" s="68">
        <f t="shared" si="24"/>
        <v>336.79962</v>
      </c>
      <c r="S69" s="68">
        <f t="shared" si="25"/>
        <v>1668.91752</v>
      </c>
      <c r="T69" s="68">
        <f t="shared" si="26"/>
        <v>1101.1114198841115</v>
      </c>
      <c r="U69" s="74">
        <v>1.4123999999999999E-2</v>
      </c>
      <c r="V69" s="74">
        <v>9.4500000000000001E-3</v>
      </c>
      <c r="W69" s="24">
        <v>22000</v>
      </c>
      <c r="X69" s="24">
        <f t="shared" si="27"/>
        <v>973200.09600000002</v>
      </c>
      <c r="Y69" s="24">
        <f t="shared" si="28"/>
        <v>217047.6</v>
      </c>
      <c r="Z69" s="24">
        <f t="shared" si="29"/>
        <v>1190247.696</v>
      </c>
      <c r="AA69" s="25">
        <f t="shared" si="30"/>
        <v>1877725.872</v>
      </c>
      <c r="AB69" s="24">
        <f t="shared" si="31"/>
        <v>1009370.1828493142</v>
      </c>
      <c r="AC69" s="45">
        <f t="shared" si="32"/>
        <v>1010471.2942691983</v>
      </c>
    </row>
    <row r="70" spans="1:29" ht="15.5" x14ac:dyDescent="0.35">
      <c r="A70" s="57">
        <v>22</v>
      </c>
      <c r="B70" s="21">
        <v>2046</v>
      </c>
      <c r="C70" s="120">
        <f t="shared" si="34"/>
        <v>90</v>
      </c>
      <c r="D70" s="120">
        <f t="shared" si="19"/>
        <v>90</v>
      </c>
      <c r="E70" s="136">
        <f t="shared" si="33"/>
        <v>30</v>
      </c>
      <c r="F70" s="120">
        <v>36</v>
      </c>
      <c r="G70" s="120">
        <v>12</v>
      </c>
      <c r="H70" s="20">
        <v>1.73E-4</v>
      </c>
      <c r="I70" s="20">
        <v>9.7E-5</v>
      </c>
      <c r="J70" s="59">
        <v>1069000</v>
      </c>
      <c r="K70" s="68">
        <f t="shared" si="20"/>
        <v>599195.88</v>
      </c>
      <c r="L70" s="68">
        <f t="shared" si="21"/>
        <v>111988.44</v>
      </c>
      <c r="M70" s="68">
        <f t="shared" si="22"/>
        <v>711184.32000000007</v>
      </c>
      <c r="N70" s="73">
        <v>1.325E-3</v>
      </c>
      <c r="O70" s="73">
        <v>1.005E-3</v>
      </c>
      <c r="P70" s="68">
        <v>326</v>
      </c>
      <c r="Q70" s="68">
        <f t="shared" si="23"/>
        <v>1399.518</v>
      </c>
      <c r="R70" s="68">
        <f t="shared" si="24"/>
        <v>353.84040000000005</v>
      </c>
      <c r="S70" s="68">
        <f t="shared" si="25"/>
        <v>1753.3584000000001</v>
      </c>
      <c r="T70" s="68">
        <f t="shared" si="26"/>
        <v>1134.1406573089305</v>
      </c>
      <c r="U70" s="74">
        <v>1.4123999999999999E-2</v>
      </c>
      <c r="V70" s="74">
        <v>9.4500000000000001E-3</v>
      </c>
      <c r="W70" s="24">
        <v>22000</v>
      </c>
      <c r="X70" s="24">
        <f t="shared" si="27"/>
        <v>1006758.7199999999</v>
      </c>
      <c r="Y70" s="24">
        <f t="shared" si="28"/>
        <v>224532</v>
      </c>
      <c r="Z70" s="24">
        <f t="shared" si="29"/>
        <v>1231290.7199999997</v>
      </c>
      <c r="AA70" s="25">
        <f t="shared" si="30"/>
        <v>1942475.0399999998</v>
      </c>
      <c r="AB70" s="24">
        <f t="shared" si="31"/>
        <v>1013763.1565276003</v>
      </c>
      <c r="AC70" s="45">
        <f t="shared" si="32"/>
        <v>1014897.2971849092</v>
      </c>
    </row>
    <row r="71" spans="1:29" ht="15.5" x14ac:dyDescent="0.35">
      <c r="A71" s="57">
        <v>23</v>
      </c>
      <c r="B71" s="21">
        <v>2047</v>
      </c>
      <c r="C71" s="120">
        <f t="shared" si="34"/>
        <v>90</v>
      </c>
      <c r="D71" s="120">
        <f t="shared" si="19"/>
        <v>90</v>
      </c>
      <c r="E71" s="136">
        <v>30</v>
      </c>
      <c r="F71" s="120">
        <v>36</v>
      </c>
      <c r="G71" s="120">
        <v>12</v>
      </c>
      <c r="H71" s="20">
        <v>1.73E-4</v>
      </c>
      <c r="I71" s="20">
        <v>9.7E-5</v>
      </c>
      <c r="J71" s="59">
        <v>1069000</v>
      </c>
      <c r="K71" s="68">
        <f t="shared" si="20"/>
        <v>599195.88</v>
      </c>
      <c r="L71" s="68">
        <f t="shared" si="21"/>
        <v>111988.44</v>
      </c>
      <c r="M71" s="68">
        <f t="shared" si="22"/>
        <v>711184.32000000007</v>
      </c>
      <c r="N71" s="73">
        <v>1.325E-3</v>
      </c>
      <c r="O71" s="73">
        <v>1.005E-3</v>
      </c>
      <c r="P71" s="68">
        <v>331</v>
      </c>
      <c r="Q71" s="68">
        <f t="shared" si="23"/>
        <v>1420.9829999999999</v>
      </c>
      <c r="R71" s="68">
        <f t="shared" si="24"/>
        <v>359.26740000000007</v>
      </c>
      <c r="S71" s="68">
        <f t="shared" si="25"/>
        <v>1780.2503999999999</v>
      </c>
      <c r="T71" s="68">
        <f t="shared" si="26"/>
        <v>1128.9563261435583</v>
      </c>
      <c r="U71" s="74">
        <v>1.4123999999999999E-2</v>
      </c>
      <c r="V71" s="74">
        <v>9.4500000000000001E-3</v>
      </c>
      <c r="W71" s="24">
        <v>22000</v>
      </c>
      <c r="X71" s="24">
        <f t="shared" si="27"/>
        <v>1006758.7199999999</v>
      </c>
      <c r="Y71" s="24">
        <f t="shared" si="28"/>
        <v>224532</v>
      </c>
      <c r="Z71" s="24">
        <f t="shared" si="29"/>
        <v>1231290.7199999997</v>
      </c>
      <c r="AA71" s="25">
        <f t="shared" si="30"/>
        <v>1942475.0399999998</v>
      </c>
      <c r="AB71" s="24">
        <f t="shared" si="31"/>
        <v>984236.07429864095</v>
      </c>
      <c r="AC71" s="45">
        <f t="shared" si="32"/>
        <v>985365.03062478453</v>
      </c>
    </row>
    <row r="72" spans="1:29" ht="15.5" x14ac:dyDescent="0.35">
      <c r="A72" s="57">
        <v>24</v>
      </c>
      <c r="B72" s="21">
        <v>2049</v>
      </c>
      <c r="C72" s="120">
        <f t="shared" si="34"/>
        <v>90</v>
      </c>
      <c r="D72" s="120">
        <f t="shared" si="19"/>
        <v>90</v>
      </c>
      <c r="E72" s="136">
        <v>30</v>
      </c>
      <c r="F72" s="120">
        <v>36</v>
      </c>
      <c r="G72" s="120">
        <v>12</v>
      </c>
      <c r="H72" s="20">
        <v>1.73E-4</v>
      </c>
      <c r="I72" s="20">
        <v>9.7E-5</v>
      </c>
      <c r="J72" s="59">
        <v>1069000</v>
      </c>
      <c r="K72" s="68">
        <f t="shared" si="20"/>
        <v>599195.88</v>
      </c>
      <c r="L72" s="68">
        <f t="shared" si="21"/>
        <v>111988.44</v>
      </c>
      <c r="M72" s="68">
        <f t="shared" si="22"/>
        <v>711184.32000000007</v>
      </c>
      <c r="N72" s="73">
        <v>1.325E-3</v>
      </c>
      <c r="O72" s="73">
        <v>1.005E-3</v>
      </c>
      <c r="P72" s="68">
        <v>336</v>
      </c>
      <c r="Q72" s="68">
        <f t="shared" si="23"/>
        <v>1442.4480000000001</v>
      </c>
      <c r="R72" s="68">
        <f t="shared" si="24"/>
        <v>364.69440000000003</v>
      </c>
      <c r="S72" s="68">
        <f t="shared" si="25"/>
        <v>1807.1424000000002</v>
      </c>
      <c r="T72" s="68">
        <f t="shared" si="26"/>
        <v>1123.5392618453754</v>
      </c>
      <c r="U72" s="74">
        <v>1.4123999999999999E-2</v>
      </c>
      <c r="V72" s="74">
        <v>9.4500000000000001E-3</v>
      </c>
      <c r="W72" s="24">
        <v>22000</v>
      </c>
      <c r="X72" s="24">
        <f t="shared" si="27"/>
        <v>1006758.7199999999</v>
      </c>
      <c r="Y72" s="24">
        <f t="shared" si="28"/>
        <v>224532</v>
      </c>
      <c r="Z72" s="24">
        <f t="shared" si="29"/>
        <v>1231290.7199999997</v>
      </c>
      <c r="AA72" s="25">
        <f t="shared" si="30"/>
        <v>1942475.0399999998</v>
      </c>
      <c r="AB72" s="24">
        <f t="shared" si="31"/>
        <v>955569.00417343795</v>
      </c>
      <c r="AC72" s="45">
        <f t="shared" si="32"/>
        <v>956692.54343528335</v>
      </c>
    </row>
    <row r="73" spans="1:29" ht="15.5" x14ac:dyDescent="0.35">
      <c r="A73" s="57">
        <v>25</v>
      </c>
      <c r="B73" s="21">
        <v>2050</v>
      </c>
      <c r="C73" s="120">
        <f t="shared" si="34"/>
        <v>90</v>
      </c>
      <c r="D73" s="120">
        <f t="shared" si="19"/>
        <v>90</v>
      </c>
      <c r="E73" s="136">
        <v>30</v>
      </c>
      <c r="F73" s="120">
        <v>36</v>
      </c>
      <c r="G73" s="120">
        <v>12</v>
      </c>
      <c r="H73" s="20">
        <v>1.73E-4</v>
      </c>
      <c r="I73" s="20">
        <v>9.7E-5</v>
      </c>
      <c r="J73" s="59">
        <v>1069000</v>
      </c>
      <c r="K73" s="68">
        <f t="shared" si="20"/>
        <v>599195.88</v>
      </c>
      <c r="L73" s="68">
        <f t="shared" si="21"/>
        <v>111988.44</v>
      </c>
      <c r="M73" s="68">
        <f t="shared" si="22"/>
        <v>711184.32000000007</v>
      </c>
      <c r="N73" s="73">
        <v>1.325E-3</v>
      </c>
      <c r="O73" s="73">
        <v>1.005E-3</v>
      </c>
      <c r="P73" s="68">
        <v>340</v>
      </c>
      <c r="Q73" s="68">
        <f t="shared" si="23"/>
        <v>1459.6200000000001</v>
      </c>
      <c r="R73" s="68">
        <f t="shared" si="24"/>
        <v>369.03600000000006</v>
      </c>
      <c r="S73" s="68">
        <f t="shared" si="25"/>
        <v>1828.6560000000002</v>
      </c>
      <c r="T73" s="68">
        <f t="shared" si="26"/>
        <v>1114.6222835767612</v>
      </c>
      <c r="U73" s="74">
        <v>1.4123999999999999E-2</v>
      </c>
      <c r="V73" s="74">
        <v>9.4500000000000001E-3</v>
      </c>
      <c r="W73" s="24">
        <v>22000</v>
      </c>
      <c r="X73" s="24">
        <f t="shared" si="27"/>
        <v>1006758.7199999999</v>
      </c>
      <c r="Y73" s="24">
        <f t="shared" si="28"/>
        <v>224532</v>
      </c>
      <c r="Z73" s="24">
        <f t="shared" si="29"/>
        <v>1231290.7199999997</v>
      </c>
      <c r="AA73" s="25">
        <f t="shared" si="30"/>
        <v>1942475.0399999998</v>
      </c>
      <c r="AB73" s="24">
        <f t="shared" si="31"/>
        <v>927736.89725576504</v>
      </c>
      <c r="AC73" s="45">
        <f t="shared" si="32"/>
        <v>928851.5195393418</v>
      </c>
    </row>
    <row r="74" spans="1:29" ht="15.5" x14ac:dyDescent="0.35">
      <c r="A74" s="57">
        <v>26</v>
      </c>
      <c r="B74" s="21">
        <v>2051</v>
      </c>
      <c r="C74" s="120"/>
      <c r="D74" s="120"/>
      <c r="E74" s="120"/>
      <c r="F74" s="120"/>
      <c r="G74" s="120"/>
      <c r="H74" s="20"/>
      <c r="I74" s="20"/>
      <c r="J74" s="59"/>
      <c r="K74" s="65"/>
      <c r="L74" s="68"/>
      <c r="M74" s="68"/>
      <c r="N74" s="73"/>
      <c r="O74" s="73"/>
      <c r="P74" s="68"/>
      <c r="Q74" s="68"/>
      <c r="R74" s="68"/>
      <c r="S74" s="68"/>
      <c r="T74" s="68"/>
      <c r="U74" s="74"/>
      <c r="V74" s="74"/>
      <c r="W74" s="24"/>
      <c r="X74" s="24"/>
      <c r="Y74" s="24"/>
      <c r="Z74" s="24"/>
      <c r="AA74" s="25"/>
      <c r="AB74" s="24"/>
      <c r="AC74" s="46"/>
    </row>
    <row r="75" spans="1:29" ht="15.5" x14ac:dyDescent="0.35">
      <c r="A75" s="57">
        <v>27</v>
      </c>
      <c r="B75" s="21">
        <v>2052</v>
      </c>
      <c r="C75" s="120"/>
      <c r="D75" s="120"/>
      <c r="E75" s="120"/>
      <c r="F75" s="120"/>
      <c r="G75" s="120"/>
      <c r="H75" s="20"/>
      <c r="I75" s="20"/>
      <c r="J75" s="59"/>
      <c r="K75" s="65"/>
      <c r="L75" s="68"/>
      <c r="M75" s="68"/>
      <c r="N75" s="73"/>
      <c r="O75" s="73"/>
      <c r="P75" s="68"/>
      <c r="Q75" s="68"/>
      <c r="R75" s="68"/>
      <c r="S75" s="68"/>
      <c r="T75" s="68"/>
      <c r="U75" s="74"/>
      <c r="V75" s="74"/>
      <c r="W75" s="24"/>
      <c r="X75" s="24"/>
      <c r="Y75" s="24"/>
      <c r="Z75" s="24"/>
      <c r="AA75" s="25"/>
      <c r="AB75" s="24"/>
      <c r="AC75" s="46"/>
    </row>
    <row r="76" spans="1:29" ht="15.5" x14ac:dyDescent="0.35">
      <c r="A76" s="57">
        <v>28</v>
      </c>
      <c r="B76" s="21">
        <v>2053</v>
      </c>
      <c r="C76" s="120"/>
      <c r="D76" s="120"/>
      <c r="E76" s="120"/>
      <c r="F76" s="120"/>
      <c r="G76" s="120"/>
      <c r="H76" s="20"/>
      <c r="I76" s="20"/>
      <c r="J76" s="59"/>
      <c r="K76" s="65"/>
      <c r="L76" s="68"/>
      <c r="M76" s="68"/>
      <c r="N76" s="73"/>
      <c r="O76" s="73"/>
      <c r="P76" s="68"/>
      <c r="Q76" s="68"/>
      <c r="R76" s="68"/>
      <c r="S76" s="68"/>
      <c r="T76" s="68"/>
      <c r="U76" s="74"/>
      <c r="V76" s="74"/>
      <c r="W76" s="24"/>
      <c r="X76" s="24"/>
      <c r="Y76" s="24"/>
      <c r="Z76" s="24"/>
      <c r="AA76" s="25"/>
      <c r="AB76" s="24"/>
      <c r="AC76" s="46"/>
    </row>
    <row r="77" spans="1:29" ht="15.5" x14ac:dyDescent="0.35">
      <c r="A77" s="57">
        <v>29</v>
      </c>
      <c r="B77" s="21">
        <v>2054</v>
      </c>
      <c r="C77" s="120"/>
      <c r="D77" s="120"/>
      <c r="E77" s="120"/>
      <c r="F77" s="120"/>
      <c r="G77" s="120"/>
      <c r="H77" s="20"/>
      <c r="I77" s="20"/>
      <c r="J77" s="59"/>
      <c r="K77" s="65"/>
      <c r="L77" s="68"/>
      <c r="M77" s="68"/>
      <c r="N77" s="73"/>
      <c r="O77" s="73"/>
      <c r="P77" s="68"/>
      <c r="Q77" s="68"/>
      <c r="R77" s="68"/>
      <c r="S77" s="68"/>
      <c r="T77" s="68"/>
      <c r="U77" s="74"/>
      <c r="V77" s="74"/>
      <c r="W77" s="24"/>
      <c r="X77" s="24"/>
      <c r="Y77" s="24"/>
      <c r="Z77" s="24"/>
      <c r="AA77" s="25"/>
      <c r="AB77" s="24"/>
      <c r="AC77" s="46"/>
    </row>
    <row r="78" spans="1:29" ht="15.5" x14ac:dyDescent="0.35">
      <c r="A78" s="4">
        <v>30</v>
      </c>
      <c r="B78" s="21">
        <v>2055</v>
      </c>
      <c r="C78" s="120"/>
      <c r="D78" s="120"/>
      <c r="E78" s="120"/>
      <c r="F78" s="120"/>
      <c r="G78" s="120"/>
      <c r="H78" s="20"/>
      <c r="I78" s="20"/>
      <c r="J78" s="59"/>
      <c r="K78" s="65"/>
      <c r="L78" s="68"/>
      <c r="M78" s="68"/>
      <c r="N78" s="73"/>
      <c r="O78" s="73"/>
      <c r="P78" s="68"/>
      <c r="Q78" s="68"/>
      <c r="R78" s="68"/>
      <c r="S78" s="68"/>
      <c r="T78" s="68"/>
      <c r="U78" s="74"/>
      <c r="V78" s="74"/>
      <c r="W78" s="24"/>
      <c r="X78" s="24"/>
      <c r="Y78" s="24"/>
      <c r="Z78" s="24"/>
      <c r="AA78" s="25"/>
      <c r="AB78" s="24"/>
      <c r="AC78" s="46"/>
    </row>
    <row r="79" spans="1:29" x14ac:dyDescent="0.3">
      <c r="A79" s="26" t="s">
        <v>13</v>
      </c>
      <c r="B79" s="26"/>
      <c r="C79" s="26"/>
      <c r="D79" s="26"/>
      <c r="E79" s="26"/>
      <c r="F79" s="26"/>
      <c r="G79" s="26"/>
      <c r="H79" s="27"/>
      <c r="I79" s="27"/>
      <c r="J79" s="60"/>
      <c r="K79" s="66"/>
      <c r="L79" s="28"/>
      <c r="M79" s="28"/>
      <c r="N79" s="27"/>
      <c r="O79" s="27"/>
      <c r="P79" s="28"/>
      <c r="Q79" s="28"/>
      <c r="R79" s="28"/>
      <c r="S79" s="28"/>
      <c r="T79" s="28"/>
      <c r="U79" s="75"/>
      <c r="V79" s="75"/>
      <c r="W79" s="28"/>
      <c r="X79" s="28"/>
      <c r="Y79" s="28"/>
      <c r="Z79" s="28"/>
      <c r="AA79" s="28"/>
      <c r="AB79" s="28">
        <f>SUM(AB51:AB78)</f>
        <v>19002628.320999552</v>
      </c>
      <c r="AC79" s="28">
        <f>AA79+AB79</f>
        <v>19002628.320999552</v>
      </c>
    </row>
    <row r="80" spans="1:29" x14ac:dyDescent="0.3">
      <c r="C80" s="77"/>
      <c r="D80" s="77"/>
      <c r="E80" s="77"/>
      <c r="F80" s="77"/>
      <c r="G80" s="77"/>
      <c r="AB80" s="80" t="s">
        <v>37</v>
      </c>
      <c r="AC80" s="89">
        <f>AC34-AC79</f>
        <v>68375950.86680375</v>
      </c>
    </row>
    <row r="81" spans="3:29" x14ac:dyDescent="0.3">
      <c r="C81" s="77"/>
      <c r="D81" s="77"/>
      <c r="E81" s="77"/>
      <c r="F81" s="77"/>
      <c r="G81" s="77"/>
      <c r="AC81" s="79"/>
    </row>
    <row r="82" spans="3:29" x14ac:dyDescent="0.3">
      <c r="C82" s="77"/>
      <c r="D82" s="77"/>
      <c r="E82" s="77"/>
      <c r="F82" s="77"/>
      <c r="G82" s="77"/>
    </row>
    <row r="83" spans="3:29" x14ac:dyDescent="0.3">
      <c r="C83" s="77"/>
      <c r="D83" s="77"/>
      <c r="E83" s="77"/>
      <c r="F83" s="77"/>
      <c r="G83" s="77"/>
    </row>
    <row r="84" spans="3:29" x14ac:dyDescent="0.3">
      <c r="C84" s="77"/>
      <c r="D84" s="77"/>
      <c r="E84" s="77"/>
      <c r="F84" s="77"/>
      <c r="G84" s="77"/>
    </row>
    <row r="85" spans="3:29" x14ac:dyDescent="0.3">
      <c r="C85" s="77"/>
      <c r="D85" s="77"/>
      <c r="E85" s="77"/>
      <c r="F85" s="77"/>
      <c r="G85" s="77"/>
    </row>
    <row r="86" spans="3:29" x14ac:dyDescent="0.3">
      <c r="C86" s="77"/>
      <c r="D86" s="77"/>
      <c r="E86" s="77"/>
      <c r="F86" s="77"/>
      <c r="G86" s="77"/>
    </row>
    <row r="87" spans="3:29" x14ac:dyDescent="0.3">
      <c r="C87" s="77"/>
      <c r="D87" s="77"/>
      <c r="E87" s="77"/>
      <c r="F87" s="77"/>
      <c r="G87" s="77"/>
    </row>
    <row r="88" spans="3:29" x14ac:dyDescent="0.3">
      <c r="C88" s="77"/>
      <c r="D88" s="77"/>
      <c r="E88" s="77"/>
      <c r="F88" s="77"/>
      <c r="G88" s="77"/>
    </row>
    <row r="89" spans="3:29" x14ac:dyDescent="0.3">
      <c r="C89" s="77"/>
      <c r="D89" s="77"/>
      <c r="E89" s="77"/>
      <c r="F89" s="77"/>
      <c r="G89" s="77"/>
    </row>
    <row r="90" spans="3:29" x14ac:dyDescent="0.3">
      <c r="C90" s="77"/>
      <c r="D90" s="77"/>
      <c r="E90" s="77"/>
      <c r="F90" s="77"/>
      <c r="G90" s="77"/>
    </row>
    <row r="91" spans="3:29" x14ac:dyDescent="0.3">
      <c r="C91" s="77"/>
      <c r="D91" s="77"/>
      <c r="E91" s="77"/>
      <c r="F91" s="77"/>
      <c r="G91" s="77"/>
    </row>
    <row r="92" spans="3:29" x14ac:dyDescent="0.3">
      <c r="C92" s="77"/>
      <c r="D92" s="77"/>
      <c r="E92" s="77"/>
      <c r="F92" s="77"/>
      <c r="G92" s="77"/>
    </row>
    <row r="93" spans="3:29" x14ac:dyDescent="0.3">
      <c r="C93" s="77"/>
      <c r="D93" s="77"/>
      <c r="E93" s="77"/>
      <c r="F93" s="77"/>
      <c r="G93" s="77"/>
    </row>
    <row r="94" spans="3:29" x14ac:dyDescent="0.3">
      <c r="C94" s="77"/>
      <c r="D94" s="77"/>
      <c r="E94" s="77"/>
      <c r="F94" s="77"/>
      <c r="G94" s="77"/>
    </row>
    <row r="95" spans="3:29" x14ac:dyDescent="0.3">
      <c r="C95" s="77"/>
      <c r="D95" s="77"/>
      <c r="E95" s="77"/>
      <c r="F95" s="77"/>
      <c r="G95" s="77"/>
    </row>
    <row r="96" spans="3:29" x14ac:dyDescent="0.3">
      <c r="C96" s="77"/>
      <c r="D96" s="77"/>
      <c r="E96" s="77"/>
      <c r="F96" s="77"/>
      <c r="G96" s="77"/>
    </row>
    <row r="97" spans="3:7" x14ac:dyDescent="0.3">
      <c r="C97" s="77"/>
      <c r="D97" s="77"/>
      <c r="E97" s="77"/>
      <c r="F97" s="77"/>
      <c r="G97" s="77"/>
    </row>
    <row r="98" spans="3:7" x14ac:dyDescent="0.3">
      <c r="C98" s="77"/>
      <c r="D98" s="77"/>
      <c r="E98" s="77"/>
      <c r="F98" s="77"/>
      <c r="G98" s="77"/>
    </row>
    <row r="99" spans="3:7" x14ac:dyDescent="0.3">
      <c r="C99" s="77"/>
      <c r="D99" s="77"/>
      <c r="E99" s="77"/>
      <c r="F99" s="77"/>
      <c r="G99" s="77"/>
    </row>
    <row r="100" spans="3:7" x14ac:dyDescent="0.3">
      <c r="C100" s="77"/>
      <c r="D100" s="77"/>
      <c r="E100" s="77"/>
      <c r="F100" s="77"/>
      <c r="G100" s="77"/>
    </row>
    <row r="101" spans="3:7" x14ac:dyDescent="0.3">
      <c r="C101" s="77"/>
      <c r="D101" s="77"/>
      <c r="E101" s="77"/>
      <c r="F101" s="77"/>
      <c r="G101" s="77"/>
    </row>
    <row r="102" spans="3:7" x14ac:dyDescent="0.3">
      <c r="C102" s="77"/>
      <c r="D102" s="77"/>
      <c r="E102" s="77"/>
      <c r="F102" s="77"/>
      <c r="G102" s="77"/>
    </row>
    <row r="103" spans="3:7" x14ac:dyDescent="0.3">
      <c r="C103" s="77"/>
      <c r="D103" s="77"/>
      <c r="E103" s="77"/>
      <c r="F103" s="77"/>
      <c r="G103" s="77"/>
    </row>
    <row r="104" spans="3:7" x14ac:dyDescent="0.3">
      <c r="C104" s="77"/>
      <c r="D104" s="77"/>
      <c r="E104" s="77"/>
      <c r="F104" s="77"/>
      <c r="G104" s="77"/>
    </row>
    <row r="105" spans="3:7" x14ac:dyDescent="0.3">
      <c r="C105" s="77"/>
      <c r="D105" s="77"/>
      <c r="E105" s="77"/>
      <c r="F105" s="77"/>
      <c r="G105" s="77"/>
    </row>
    <row r="106" spans="3:7" x14ac:dyDescent="0.3">
      <c r="C106" s="77"/>
      <c r="D106" s="77"/>
      <c r="E106" s="77"/>
      <c r="F106" s="77"/>
      <c r="G106" s="77"/>
    </row>
    <row r="107" spans="3:7" x14ac:dyDescent="0.3">
      <c r="C107" s="77"/>
      <c r="D107" s="77"/>
      <c r="E107" s="77"/>
      <c r="F107" s="77"/>
      <c r="G107" s="77"/>
    </row>
    <row r="108" spans="3:7" x14ac:dyDescent="0.3">
      <c r="C108" s="77"/>
      <c r="D108" s="77"/>
      <c r="E108" s="77"/>
      <c r="F108" s="77"/>
      <c r="G108" s="77"/>
    </row>
    <row r="109" spans="3:7" x14ac:dyDescent="0.3">
      <c r="C109" s="77"/>
      <c r="D109" s="77"/>
      <c r="E109" s="77"/>
      <c r="F109" s="77"/>
      <c r="G109" s="77"/>
    </row>
    <row r="110" spans="3:7" x14ac:dyDescent="0.3">
      <c r="C110" s="77"/>
      <c r="D110" s="77"/>
      <c r="E110" s="77"/>
      <c r="F110" s="77"/>
      <c r="G110" s="77"/>
    </row>
    <row r="111" spans="3:7" x14ac:dyDescent="0.3">
      <c r="C111" s="77"/>
      <c r="D111" s="77"/>
      <c r="E111" s="77"/>
      <c r="F111" s="77"/>
      <c r="G111" s="77"/>
    </row>
    <row r="112" spans="3:7" x14ac:dyDescent="0.3">
      <c r="C112" s="77"/>
      <c r="D112" s="77"/>
      <c r="E112" s="77"/>
      <c r="F112" s="77"/>
      <c r="G112" s="77"/>
    </row>
    <row r="113" spans="3:7" x14ac:dyDescent="0.3">
      <c r="C113" s="77"/>
      <c r="D113" s="77"/>
      <c r="E113" s="77"/>
      <c r="F113" s="77"/>
      <c r="G113" s="77"/>
    </row>
    <row r="114" spans="3:7" x14ac:dyDescent="0.3">
      <c r="C114" s="77"/>
      <c r="D114" s="77"/>
      <c r="E114" s="77"/>
      <c r="F114" s="77"/>
      <c r="G114" s="77"/>
    </row>
    <row r="115" spans="3:7" x14ac:dyDescent="0.3">
      <c r="C115" s="77"/>
      <c r="D115" s="77"/>
      <c r="E115" s="77"/>
      <c r="F115" s="77"/>
      <c r="G115" s="77"/>
    </row>
    <row r="116" spans="3:7" x14ac:dyDescent="0.3">
      <c r="C116" s="77"/>
      <c r="D116" s="77"/>
      <c r="E116" s="77"/>
      <c r="F116" s="77"/>
      <c r="G116" s="77"/>
    </row>
    <row r="117" spans="3:7" x14ac:dyDescent="0.3">
      <c r="C117" s="77"/>
      <c r="D117" s="77"/>
      <c r="E117" s="77"/>
      <c r="F117" s="77"/>
      <c r="G117" s="77"/>
    </row>
    <row r="118" spans="3:7" x14ac:dyDescent="0.3">
      <c r="C118" s="77"/>
      <c r="D118" s="77"/>
      <c r="E118" s="77"/>
      <c r="F118" s="77"/>
      <c r="G118" s="77"/>
    </row>
    <row r="119" spans="3:7" x14ac:dyDescent="0.3">
      <c r="C119" s="77"/>
      <c r="D119" s="77"/>
      <c r="E119" s="77"/>
      <c r="F119" s="77"/>
      <c r="G119" s="77"/>
    </row>
    <row r="120" spans="3:7" x14ac:dyDescent="0.3">
      <c r="C120" s="77"/>
      <c r="D120" s="77"/>
      <c r="E120" s="77"/>
      <c r="F120" s="77"/>
      <c r="G120" s="77"/>
    </row>
    <row r="121" spans="3:7" x14ac:dyDescent="0.3">
      <c r="C121" s="77"/>
      <c r="D121" s="77"/>
      <c r="E121" s="77"/>
      <c r="F121" s="77"/>
      <c r="G121" s="77"/>
    </row>
    <row r="122" spans="3:7" x14ac:dyDescent="0.3">
      <c r="C122" s="77"/>
      <c r="D122" s="77"/>
      <c r="E122" s="77"/>
      <c r="F122" s="77"/>
      <c r="G122" s="77"/>
    </row>
    <row r="123" spans="3:7" x14ac:dyDescent="0.3">
      <c r="C123" s="77"/>
      <c r="D123" s="77"/>
      <c r="E123" s="77"/>
      <c r="F123" s="77"/>
      <c r="G123" s="77"/>
    </row>
    <row r="124" spans="3:7" x14ac:dyDescent="0.3">
      <c r="C124" s="77"/>
      <c r="D124" s="77"/>
      <c r="E124" s="77"/>
      <c r="F124" s="77"/>
      <c r="G124" s="77"/>
    </row>
    <row r="125" spans="3:7" x14ac:dyDescent="0.3">
      <c r="C125" s="77"/>
      <c r="D125" s="77"/>
      <c r="E125" s="77"/>
      <c r="F125" s="77"/>
      <c r="G125" s="77"/>
    </row>
    <row r="126" spans="3:7" x14ac:dyDescent="0.3">
      <c r="C126" s="77"/>
      <c r="D126" s="77"/>
      <c r="E126" s="77"/>
      <c r="F126" s="77"/>
      <c r="G126" s="77"/>
    </row>
    <row r="127" spans="3:7" x14ac:dyDescent="0.3">
      <c r="C127" s="77"/>
      <c r="D127" s="77"/>
      <c r="E127" s="77"/>
      <c r="F127" s="77"/>
      <c r="G127" s="77"/>
    </row>
    <row r="128" spans="3:7" x14ac:dyDescent="0.3">
      <c r="C128" s="77"/>
      <c r="D128" s="77"/>
      <c r="E128" s="77"/>
      <c r="F128" s="77"/>
      <c r="G128" s="77"/>
    </row>
    <row r="129" spans="3:7" x14ac:dyDescent="0.3">
      <c r="C129" s="77"/>
      <c r="D129" s="77"/>
      <c r="E129" s="77"/>
      <c r="F129" s="77"/>
      <c r="G129" s="77"/>
    </row>
    <row r="130" spans="3:7" x14ac:dyDescent="0.3">
      <c r="C130" s="77"/>
      <c r="D130" s="77"/>
      <c r="E130" s="77"/>
      <c r="F130" s="77"/>
      <c r="G130" s="77"/>
    </row>
    <row r="131" spans="3:7" x14ac:dyDescent="0.3">
      <c r="C131" s="77"/>
      <c r="D131" s="77"/>
      <c r="E131" s="77"/>
      <c r="F131" s="77"/>
      <c r="G131" s="77"/>
    </row>
    <row r="132" spans="3:7" x14ac:dyDescent="0.3">
      <c r="C132" s="77"/>
      <c r="D132" s="77"/>
      <c r="E132" s="77"/>
      <c r="F132" s="77"/>
      <c r="G132" s="77"/>
    </row>
    <row r="133" spans="3:7" x14ac:dyDescent="0.3">
      <c r="C133" s="77"/>
      <c r="D133" s="77"/>
      <c r="E133" s="77"/>
      <c r="F133" s="77"/>
      <c r="G133" s="77"/>
    </row>
    <row r="134" spans="3:7" x14ac:dyDescent="0.3">
      <c r="C134" s="77"/>
      <c r="D134" s="77"/>
      <c r="E134" s="77"/>
      <c r="F134" s="77"/>
      <c r="G134" s="77"/>
    </row>
    <row r="135" spans="3:7" x14ac:dyDescent="0.3">
      <c r="C135" s="77"/>
      <c r="D135" s="77"/>
      <c r="E135" s="77"/>
      <c r="F135" s="77"/>
      <c r="G135" s="77"/>
    </row>
    <row r="136" spans="3:7" x14ac:dyDescent="0.3">
      <c r="C136" s="77"/>
      <c r="D136" s="77"/>
      <c r="E136" s="77"/>
      <c r="F136" s="77"/>
      <c r="G136" s="77"/>
    </row>
    <row r="137" spans="3:7" x14ac:dyDescent="0.3">
      <c r="C137" s="77"/>
      <c r="D137" s="77"/>
      <c r="E137" s="77"/>
      <c r="F137" s="77"/>
      <c r="G137" s="77"/>
    </row>
    <row r="138" spans="3:7" x14ac:dyDescent="0.3">
      <c r="C138" s="77"/>
      <c r="D138" s="77"/>
      <c r="E138" s="77"/>
      <c r="F138" s="77"/>
      <c r="G138" s="77"/>
    </row>
    <row r="139" spans="3:7" x14ac:dyDescent="0.3">
      <c r="C139" s="77"/>
      <c r="D139" s="77"/>
      <c r="E139" s="77"/>
      <c r="F139" s="77"/>
      <c r="G139" s="77"/>
    </row>
    <row r="140" spans="3:7" x14ac:dyDescent="0.3">
      <c r="C140" s="77"/>
      <c r="D140" s="77"/>
      <c r="E140" s="77"/>
      <c r="F140" s="77"/>
      <c r="G140" s="77"/>
    </row>
    <row r="141" spans="3:7" x14ac:dyDescent="0.3">
      <c r="C141" s="77"/>
      <c r="D141" s="77"/>
      <c r="E141" s="77"/>
      <c r="F141" s="77"/>
      <c r="G141" s="77"/>
    </row>
    <row r="142" spans="3:7" x14ac:dyDescent="0.3">
      <c r="C142" s="77"/>
      <c r="D142" s="77"/>
      <c r="E142" s="77"/>
      <c r="F142" s="77"/>
      <c r="G142" s="77"/>
    </row>
    <row r="143" spans="3:7" x14ac:dyDescent="0.3">
      <c r="C143" s="77"/>
      <c r="D143" s="77"/>
      <c r="E143" s="77"/>
      <c r="F143" s="77"/>
      <c r="G143" s="77"/>
    </row>
    <row r="144" spans="3:7" x14ac:dyDescent="0.3">
      <c r="C144" s="77"/>
      <c r="D144" s="77"/>
      <c r="E144" s="77"/>
      <c r="F144" s="77"/>
      <c r="G144" s="77"/>
    </row>
    <row r="145" spans="3:7" x14ac:dyDescent="0.3">
      <c r="C145" s="77"/>
      <c r="D145" s="77"/>
      <c r="E145" s="77"/>
      <c r="F145" s="77"/>
      <c r="G145" s="77"/>
    </row>
    <row r="146" spans="3:7" x14ac:dyDescent="0.3">
      <c r="C146" s="77"/>
      <c r="D146" s="77"/>
      <c r="E146" s="77"/>
      <c r="F146" s="77"/>
      <c r="G146" s="77"/>
    </row>
    <row r="147" spans="3:7" x14ac:dyDescent="0.3">
      <c r="C147" s="77"/>
      <c r="D147" s="77"/>
      <c r="E147" s="77"/>
      <c r="F147" s="77"/>
      <c r="G147" s="77"/>
    </row>
    <row r="148" spans="3:7" x14ac:dyDescent="0.3">
      <c r="C148" s="77"/>
      <c r="D148" s="77"/>
      <c r="E148" s="77"/>
      <c r="F148" s="77"/>
      <c r="G148" s="77"/>
    </row>
    <row r="149" spans="3:7" x14ac:dyDescent="0.3">
      <c r="C149" s="77"/>
      <c r="D149" s="77"/>
      <c r="E149" s="77"/>
      <c r="F149" s="77"/>
      <c r="G149" s="77"/>
    </row>
    <row r="150" spans="3:7" x14ac:dyDescent="0.3">
      <c r="C150" s="77"/>
      <c r="D150" s="77"/>
      <c r="E150" s="77"/>
      <c r="F150" s="77"/>
      <c r="G150" s="77"/>
    </row>
    <row r="151" spans="3:7" x14ac:dyDescent="0.3">
      <c r="C151" s="77"/>
      <c r="D151" s="77"/>
      <c r="E151" s="77"/>
      <c r="F151" s="77"/>
      <c r="G151" s="77"/>
    </row>
    <row r="152" spans="3:7" x14ac:dyDescent="0.3">
      <c r="C152" s="77"/>
      <c r="D152" s="77"/>
      <c r="E152" s="77"/>
      <c r="F152" s="77"/>
      <c r="G152" s="77"/>
    </row>
    <row r="153" spans="3:7" x14ac:dyDescent="0.3">
      <c r="C153" s="77"/>
      <c r="D153" s="77"/>
      <c r="E153" s="77"/>
      <c r="F153" s="77"/>
      <c r="G153" s="77"/>
    </row>
    <row r="154" spans="3:7" x14ac:dyDescent="0.3">
      <c r="C154" s="77"/>
      <c r="D154" s="77"/>
      <c r="E154" s="77"/>
      <c r="F154" s="77"/>
      <c r="G154" s="77"/>
    </row>
    <row r="155" spans="3:7" x14ac:dyDescent="0.3">
      <c r="C155" s="77"/>
      <c r="D155" s="77"/>
      <c r="E155" s="77"/>
      <c r="F155" s="77"/>
      <c r="G155" s="77"/>
    </row>
  </sheetData>
  <mergeCells count="11">
    <mergeCell ref="A46:AC46"/>
    <mergeCell ref="A47:AC47"/>
    <mergeCell ref="A36:S36"/>
    <mergeCell ref="A1:AC1"/>
    <mergeCell ref="A2:AC2"/>
    <mergeCell ref="A41:B41"/>
    <mergeCell ref="A43:AA45"/>
    <mergeCell ref="A37:B37"/>
    <mergeCell ref="A38:B38"/>
    <mergeCell ref="A39:B39"/>
    <mergeCell ref="A40:B40"/>
  </mergeCells>
  <phoneticPr fontId="4" type="noConversion"/>
  <pageMargins left="0.75" right="0.75" top="1" bottom="1" header="0.5" footer="0.5"/>
  <pageSetup scale="19" orientation="portrait" horizontalDpi="4294967292" verticalDpi="4294967292" r:id="rId1"/>
  <headerFooter>
    <oddFooter>&amp;L&amp;"Helvetica,Regular"&amp;12&amp;K000000	&amp;P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2B7D2-D6B3-4C93-96A4-1B7076FC69CA}">
  <dimension ref="A1:V74"/>
  <sheetViews>
    <sheetView topLeftCell="G62" zoomScale="70" zoomScaleNormal="70" workbookViewId="0">
      <selection activeCell="V94" sqref="V94"/>
    </sheetView>
  </sheetViews>
  <sheetFormatPr defaultRowHeight="15" x14ac:dyDescent="0.3"/>
  <cols>
    <col min="5" max="6" width="9.9296875" customWidth="1"/>
    <col min="11" max="12" width="9.9296875" bestFit="1" customWidth="1"/>
    <col min="13" max="13" width="9.9296875" customWidth="1"/>
    <col min="15" max="15" width="9.9296875" bestFit="1" customWidth="1"/>
    <col min="16" max="16" width="9.06640625" style="86"/>
    <col min="17" max="17" width="9.06640625" style="84"/>
    <col min="20" max="20" width="11.33203125" customWidth="1"/>
    <col min="22" max="22" width="31.33203125" customWidth="1"/>
  </cols>
  <sheetData>
    <row r="1" spans="1:20" ht="17.5" customHeight="1" x14ac:dyDescent="0.3">
      <c r="A1" s="206" t="s">
        <v>22</v>
      </c>
      <c r="B1" s="207"/>
      <c r="C1" s="207"/>
      <c r="D1" s="207"/>
      <c r="E1" s="207"/>
      <c r="F1" s="207"/>
      <c r="G1" s="207"/>
      <c r="H1" s="207"/>
      <c r="I1" s="207"/>
      <c r="J1" s="207"/>
      <c r="K1" s="207"/>
      <c r="L1" s="207"/>
      <c r="M1" s="207"/>
      <c r="N1" s="207"/>
      <c r="O1" s="207"/>
      <c r="P1" s="207"/>
      <c r="Q1" s="207"/>
      <c r="R1" s="207"/>
      <c r="S1" s="207"/>
      <c r="T1" s="207"/>
    </row>
    <row r="2" spans="1:20" ht="17.5" customHeight="1" x14ac:dyDescent="0.3">
      <c r="A2" s="208" t="s">
        <v>48</v>
      </c>
      <c r="B2" s="209"/>
      <c r="C2" s="209"/>
      <c r="D2" s="209"/>
      <c r="E2" s="209"/>
      <c r="F2" s="209"/>
      <c r="G2" s="209"/>
      <c r="H2" s="209"/>
      <c r="I2" s="209"/>
      <c r="J2" s="209"/>
      <c r="K2" s="209"/>
      <c r="L2" s="209"/>
      <c r="M2" s="209"/>
      <c r="N2" s="209"/>
      <c r="O2" s="209"/>
      <c r="P2" s="209"/>
      <c r="Q2" s="209"/>
      <c r="R2" s="209"/>
      <c r="S2" s="209"/>
      <c r="T2" s="209"/>
    </row>
    <row r="3" spans="1:20" ht="162.5" customHeight="1" thickBot="1" x14ac:dyDescent="0.35">
      <c r="A3" s="18" t="s">
        <v>7</v>
      </c>
      <c r="B3" s="18" t="s">
        <v>8</v>
      </c>
      <c r="C3" s="18" t="s">
        <v>97</v>
      </c>
      <c r="D3" s="18" t="s">
        <v>59</v>
      </c>
      <c r="E3" s="18" t="s">
        <v>47</v>
      </c>
      <c r="F3" s="18" t="s">
        <v>96</v>
      </c>
      <c r="G3" s="18" t="s">
        <v>57</v>
      </c>
      <c r="H3" s="18" t="s">
        <v>52</v>
      </c>
      <c r="I3" s="63" t="s">
        <v>58</v>
      </c>
      <c r="J3" s="64" t="s">
        <v>54</v>
      </c>
      <c r="K3" s="64" t="s">
        <v>98</v>
      </c>
      <c r="L3" s="64" t="s">
        <v>99</v>
      </c>
      <c r="M3" s="64" t="s">
        <v>100</v>
      </c>
      <c r="N3" s="64" t="s">
        <v>101</v>
      </c>
      <c r="O3" s="64" t="s">
        <v>43</v>
      </c>
      <c r="P3" s="85" t="s">
        <v>44</v>
      </c>
      <c r="Q3" s="83" t="s">
        <v>41</v>
      </c>
      <c r="R3" s="18" t="s">
        <v>42</v>
      </c>
      <c r="S3" s="18" t="s">
        <v>45</v>
      </c>
      <c r="T3" s="19" t="s">
        <v>19</v>
      </c>
    </row>
    <row r="4" spans="1:20" ht="15.5" x14ac:dyDescent="0.35">
      <c r="A4" s="1">
        <v>1</v>
      </c>
      <c r="B4" s="21">
        <v>2025</v>
      </c>
      <c r="C4" s="123"/>
      <c r="D4" s="136"/>
      <c r="E4" s="123"/>
      <c r="F4" s="123"/>
      <c r="G4" s="12"/>
      <c r="H4" s="12"/>
      <c r="I4" s="59"/>
      <c r="J4" s="65"/>
      <c r="K4" s="65"/>
      <c r="L4" s="65"/>
      <c r="M4" s="65"/>
      <c r="N4" s="65"/>
      <c r="O4" s="65"/>
      <c r="P4" s="74"/>
      <c r="Q4" s="81"/>
      <c r="R4" s="73"/>
      <c r="S4" s="73"/>
      <c r="T4" s="23"/>
    </row>
    <row r="5" spans="1:20" ht="15.5" x14ac:dyDescent="0.35">
      <c r="A5" s="3">
        <v>2</v>
      </c>
      <c r="B5" s="21">
        <v>2026</v>
      </c>
      <c r="C5" s="123"/>
      <c r="D5" s="136"/>
      <c r="E5" s="123"/>
      <c r="F5" s="123"/>
      <c r="G5" s="12"/>
      <c r="H5" s="12"/>
      <c r="I5" s="59"/>
      <c r="J5" s="65"/>
      <c r="K5" s="65"/>
      <c r="L5" s="65"/>
      <c r="M5" s="65"/>
      <c r="N5" s="65"/>
      <c r="O5" s="65"/>
      <c r="P5" s="74"/>
      <c r="Q5" s="81"/>
      <c r="R5" s="73"/>
      <c r="S5" s="73"/>
      <c r="T5" s="23"/>
    </row>
    <row r="6" spans="1:20" ht="15.5" x14ac:dyDescent="0.35">
      <c r="A6" s="3">
        <v>3</v>
      </c>
      <c r="B6" s="21">
        <v>2027</v>
      </c>
      <c r="C6" s="120"/>
      <c r="D6" s="136"/>
      <c r="E6" s="120"/>
      <c r="F6" s="120"/>
      <c r="G6" s="20"/>
      <c r="H6" s="20"/>
      <c r="I6" s="59"/>
      <c r="J6" s="65"/>
      <c r="K6" s="65"/>
      <c r="L6" s="65"/>
      <c r="M6" s="65"/>
      <c r="N6" s="65"/>
      <c r="O6" s="65"/>
      <c r="P6" s="74"/>
      <c r="Q6" s="81"/>
      <c r="R6" s="73"/>
      <c r="S6" s="73"/>
      <c r="T6" s="24"/>
    </row>
    <row r="7" spans="1:20" ht="15.5" x14ac:dyDescent="0.35">
      <c r="A7" s="3">
        <v>4</v>
      </c>
      <c r="B7" s="21">
        <v>2028</v>
      </c>
      <c r="C7" s="120"/>
      <c r="D7" s="136"/>
      <c r="E7" s="120"/>
      <c r="F7" s="120"/>
      <c r="G7" s="20"/>
      <c r="H7" s="20"/>
      <c r="I7" s="59"/>
      <c r="J7" s="65"/>
      <c r="K7" s="65"/>
      <c r="L7" s="65"/>
      <c r="M7" s="65"/>
      <c r="N7" s="65"/>
      <c r="O7" s="65"/>
      <c r="P7" s="74"/>
      <c r="Q7" s="81"/>
      <c r="R7" s="73"/>
      <c r="S7" s="73"/>
      <c r="T7" s="24"/>
    </row>
    <row r="8" spans="1:20" ht="15.5" x14ac:dyDescent="0.35">
      <c r="A8" s="121">
        <v>5</v>
      </c>
      <c r="B8" s="122">
        <v>2029</v>
      </c>
      <c r="C8" s="120"/>
      <c r="D8" s="136"/>
      <c r="E8" s="120"/>
      <c r="F8" s="120"/>
      <c r="G8" s="20"/>
      <c r="H8" s="20"/>
      <c r="I8" s="59"/>
      <c r="J8" s="59"/>
      <c r="K8" s="59"/>
      <c r="L8" s="68"/>
      <c r="M8" s="68"/>
      <c r="N8" s="68"/>
      <c r="O8" s="68"/>
      <c r="P8" s="90"/>
      <c r="Q8" s="81"/>
      <c r="R8" s="88"/>
      <c r="S8" s="88"/>
      <c r="T8" s="24"/>
    </row>
    <row r="9" spans="1:20" ht="15.5" x14ac:dyDescent="0.35">
      <c r="A9" s="3">
        <v>6</v>
      </c>
      <c r="B9" s="21">
        <v>2030</v>
      </c>
      <c r="C9" s="120">
        <f>D9*3</f>
        <v>45</v>
      </c>
      <c r="D9" s="136">
        <v>15</v>
      </c>
      <c r="E9" s="120">
        <v>173</v>
      </c>
      <c r="F9" s="120">
        <v>43</v>
      </c>
      <c r="G9" s="20">
        <v>6</v>
      </c>
      <c r="H9" s="20">
        <v>1</v>
      </c>
      <c r="I9" s="59">
        <v>38</v>
      </c>
      <c r="J9" s="59">
        <v>50</v>
      </c>
      <c r="K9" s="59">
        <f>C9*E9*G9*I9</f>
        <v>1774980</v>
      </c>
      <c r="L9" s="68">
        <f>C9*F9*G9*I9</f>
        <v>441180</v>
      </c>
      <c r="M9" s="68">
        <f>C9*E9*H9*J9</f>
        <v>389250</v>
      </c>
      <c r="N9" s="68">
        <f>C9*F9*H9*J9</f>
        <v>96750</v>
      </c>
      <c r="O9" s="68">
        <f>K9+L9+M9+N9</f>
        <v>2702160</v>
      </c>
      <c r="P9" s="90">
        <f t="shared" ref="P9:P28" si="0">(E9/24*5000)+(F9/24*5000)</f>
        <v>45000</v>
      </c>
      <c r="Q9" s="81">
        <v>4.2990000000000004</v>
      </c>
      <c r="R9" s="88">
        <f t="shared" ref="R9:R28" si="1">P9*Q9*C9</f>
        <v>8705475.0000000019</v>
      </c>
      <c r="S9" s="88">
        <f t="shared" ref="S9:S28" si="2">O9+R9</f>
        <v>11407635.000000002</v>
      </c>
      <c r="T9" s="24">
        <f t="shared" ref="T9:T28" si="3">S9/(1+0.03)^A9</f>
        <v>9553714.7184934411</v>
      </c>
    </row>
    <row r="10" spans="1:20" ht="15.5" x14ac:dyDescent="0.35">
      <c r="A10" s="3">
        <v>7</v>
      </c>
      <c r="B10" s="21">
        <v>2031</v>
      </c>
      <c r="C10" s="120">
        <f t="shared" ref="C10:C28" si="4">D10*3</f>
        <v>48</v>
      </c>
      <c r="D10" s="136">
        <f>D9+1</f>
        <v>16</v>
      </c>
      <c r="E10" s="120">
        <v>173</v>
      </c>
      <c r="F10" s="120">
        <v>43</v>
      </c>
      <c r="G10" s="20">
        <v>6</v>
      </c>
      <c r="H10" s="20">
        <v>1</v>
      </c>
      <c r="I10" s="59">
        <v>38</v>
      </c>
      <c r="J10" s="59">
        <v>50</v>
      </c>
      <c r="K10" s="59">
        <f t="shared" ref="K10:K28" si="5">C10*E10*G10*I10</f>
        <v>1893312</v>
      </c>
      <c r="L10" s="68">
        <f t="shared" ref="L10:L28" si="6">C10*F10*G10*I10</f>
        <v>470592</v>
      </c>
      <c r="M10" s="68">
        <f t="shared" ref="M10:M28" si="7">C10*E10*H10*J10</f>
        <v>415200</v>
      </c>
      <c r="N10" s="68">
        <f t="shared" ref="N10:N28" si="8">C10*F10*H10*J10</f>
        <v>103200</v>
      </c>
      <c r="O10" s="68">
        <f t="shared" ref="O10:O28" si="9">K10+L10+M10+N10</f>
        <v>2882304</v>
      </c>
      <c r="P10" s="90">
        <f t="shared" si="0"/>
        <v>45000</v>
      </c>
      <c r="Q10" s="81">
        <v>4.2990000000000004</v>
      </c>
      <c r="R10" s="88">
        <f t="shared" si="1"/>
        <v>9285840.0000000019</v>
      </c>
      <c r="S10" s="88">
        <f t="shared" si="2"/>
        <v>12168144.000000002</v>
      </c>
      <c r="T10" s="24">
        <f t="shared" si="3"/>
        <v>9893814.5952035636</v>
      </c>
    </row>
    <row r="11" spans="1:20" ht="15.5" x14ac:dyDescent="0.35">
      <c r="A11" s="3">
        <v>8</v>
      </c>
      <c r="B11" s="21">
        <v>2032</v>
      </c>
      <c r="C11" s="120">
        <f t="shared" si="4"/>
        <v>51</v>
      </c>
      <c r="D11" s="136">
        <f t="shared" ref="D11:D25" si="10">D10+1</f>
        <v>17</v>
      </c>
      <c r="E11" s="120">
        <v>173</v>
      </c>
      <c r="F11" s="120">
        <v>43</v>
      </c>
      <c r="G11" s="20">
        <v>6</v>
      </c>
      <c r="H11" s="20">
        <v>1</v>
      </c>
      <c r="I11" s="59">
        <v>38</v>
      </c>
      <c r="J11" s="59">
        <v>50</v>
      </c>
      <c r="K11" s="59">
        <f t="shared" si="5"/>
        <v>2011644</v>
      </c>
      <c r="L11" s="68">
        <f t="shared" si="6"/>
        <v>500004</v>
      </c>
      <c r="M11" s="68">
        <f t="shared" si="7"/>
        <v>441150</v>
      </c>
      <c r="N11" s="68">
        <f t="shared" si="8"/>
        <v>109650</v>
      </c>
      <c r="O11" s="68">
        <f t="shared" si="9"/>
        <v>3062448</v>
      </c>
      <c r="P11" s="90">
        <f t="shared" si="0"/>
        <v>45000</v>
      </c>
      <c r="Q11" s="81">
        <v>4.2990000000000004</v>
      </c>
      <c r="R11" s="88">
        <f t="shared" si="1"/>
        <v>9866205.0000000019</v>
      </c>
      <c r="S11" s="88">
        <f t="shared" si="2"/>
        <v>12928653.000000002</v>
      </c>
      <c r="T11" s="24">
        <f t="shared" si="3"/>
        <v>10205998.065440571</v>
      </c>
    </row>
    <row r="12" spans="1:20" ht="15.5" x14ac:dyDescent="0.35">
      <c r="A12" s="3">
        <v>9</v>
      </c>
      <c r="B12" s="21">
        <v>2033</v>
      </c>
      <c r="C12" s="120">
        <f t="shared" si="4"/>
        <v>54</v>
      </c>
      <c r="D12" s="136">
        <f t="shared" si="10"/>
        <v>18</v>
      </c>
      <c r="E12" s="120">
        <v>173</v>
      </c>
      <c r="F12" s="120">
        <v>43</v>
      </c>
      <c r="G12" s="20">
        <v>6</v>
      </c>
      <c r="H12" s="20">
        <v>1</v>
      </c>
      <c r="I12" s="59">
        <v>38</v>
      </c>
      <c r="J12" s="59">
        <v>50</v>
      </c>
      <c r="K12" s="59">
        <f t="shared" si="5"/>
        <v>2129976</v>
      </c>
      <c r="L12" s="68">
        <f t="shared" si="6"/>
        <v>529416</v>
      </c>
      <c r="M12" s="68">
        <f t="shared" si="7"/>
        <v>467100</v>
      </c>
      <c r="N12" s="68">
        <f t="shared" si="8"/>
        <v>116100</v>
      </c>
      <c r="O12" s="68">
        <f t="shared" si="9"/>
        <v>3242592</v>
      </c>
      <c r="P12" s="90">
        <f t="shared" si="0"/>
        <v>45000</v>
      </c>
      <c r="Q12" s="81">
        <v>4.2990000000000004</v>
      </c>
      <c r="R12" s="88">
        <f t="shared" si="1"/>
        <v>10446570.000000002</v>
      </c>
      <c r="S12" s="88">
        <f t="shared" si="2"/>
        <v>13689162.000000002</v>
      </c>
      <c r="T12" s="24">
        <f t="shared" si="3"/>
        <v>10491602.808562551</v>
      </c>
    </row>
    <row r="13" spans="1:20" ht="15.5" x14ac:dyDescent="0.35">
      <c r="A13" s="3">
        <v>10</v>
      </c>
      <c r="B13" s="21">
        <v>2034</v>
      </c>
      <c r="C13" s="120">
        <f t="shared" si="4"/>
        <v>57</v>
      </c>
      <c r="D13" s="146">
        <f t="shared" si="10"/>
        <v>19</v>
      </c>
      <c r="E13" s="120">
        <v>173</v>
      </c>
      <c r="F13" s="120">
        <v>43</v>
      </c>
      <c r="G13" s="20">
        <v>6</v>
      </c>
      <c r="H13" s="20">
        <v>1</v>
      </c>
      <c r="I13" s="59">
        <v>38</v>
      </c>
      <c r="J13" s="59">
        <v>50</v>
      </c>
      <c r="K13" s="59">
        <f t="shared" si="5"/>
        <v>2248308</v>
      </c>
      <c r="L13" s="68">
        <f t="shared" si="6"/>
        <v>558828</v>
      </c>
      <c r="M13" s="68">
        <f t="shared" si="7"/>
        <v>493050</v>
      </c>
      <c r="N13" s="68">
        <f t="shared" si="8"/>
        <v>122550</v>
      </c>
      <c r="O13" s="68">
        <f t="shared" si="9"/>
        <v>3422736</v>
      </c>
      <c r="P13" s="90">
        <f t="shared" si="0"/>
        <v>45000</v>
      </c>
      <c r="Q13" s="81">
        <v>4.2990000000000004</v>
      </c>
      <c r="R13" s="88">
        <f t="shared" si="1"/>
        <v>11026935.000000002</v>
      </c>
      <c r="S13" s="88">
        <f t="shared" si="2"/>
        <v>14449671.000000002</v>
      </c>
      <c r="T13" s="24">
        <f t="shared" si="3"/>
        <v>10751912.263359679</v>
      </c>
    </row>
    <row r="14" spans="1:20" ht="15.5" x14ac:dyDescent="0.35">
      <c r="A14" s="3">
        <v>11</v>
      </c>
      <c r="B14" s="21">
        <v>2035</v>
      </c>
      <c r="C14" s="120">
        <f t="shared" si="4"/>
        <v>60</v>
      </c>
      <c r="D14" s="136">
        <f t="shared" si="10"/>
        <v>20</v>
      </c>
      <c r="E14" s="120">
        <v>173</v>
      </c>
      <c r="F14" s="120">
        <v>43</v>
      </c>
      <c r="G14" s="20">
        <v>6</v>
      </c>
      <c r="H14" s="20">
        <v>1</v>
      </c>
      <c r="I14" s="59">
        <v>38</v>
      </c>
      <c r="J14" s="59">
        <v>50</v>
      </c>
      <c r="K14" s="59">
        <f t="shared" si="5"/>
        <v>2366640</v>
      </c>
      <c r="L14" s="68">
        <f t="shared" si="6"/>
        <v>588240</v>
      </c>
      <c r="M14" s="68">
        <f t="shared" si="7"/>
        <v>519000</v>
      </c>
      <c r="N14" s="68">
        <f t="shared" si="8"/>
        <v>129000</v>
      </c>
      <c r="O14" s="68">
        <f t="shared" si="9"/>
        <v>3602880</v>
      </c>
      <c r="P14" s="90">
        <f t="shared" si="0"/>
        <v>45000</v>
      </c>
      <c r="Q14" s="81">
        <v>4.2990000000000004</v>
      </c>
      <c r="R14" s="88">
        <f t="shared" si="1"/>
        <v>11607300.000000002</v>
      </c>
      <c r="S14" s="88">
        <f t="shared" si="2"/>
        <v>15210180.000000002</v>
      </c>
      <c r="T14" s="24">
        <f t="shared" si="3"/>
        <v>10988157.652896963</v>
      </c>
    </row>
    <row r="15" spans="1:20" ht="15.5" x14ac:dyDescent="0.35">
      <c r="A15" s="3">
        <v>12</v>
      </c>
      <c r="B15" s="21">
        <v>2036</v>
      </c>
      <c r="C15" s="120">
        <f t="shared" si="4"/>
        <v>63</v>
      </c>
      <c r="D15" s="136">
        <f t="shared" si="10"/>
        <v>21</v>
      </c>
      <c r="E15" s="120">
        <v>173</v>
      </c>
      <c r="F15" s="120">
        <v>43</v>
      </c>
      <c r="G15" s="20">
        <v>6</v>
      </c>
      <c r="H15" s="20">
        <v>1</v>
      </c>
      <c r="I15" s="59">
        <v>38</v>
      </c>
      <c r="J15" s="59">
        <v>50</v>
      </c>
      <c r="K15" s="59">
        <f t="shared" si="5"/>
        <v>2484972</v>
      </c>
      <c r="L15" s="68">
        <f t="shared" si="6"/>
        <v>617652</v>
      </c>
      <c r="M15" s="68">
        <f t="shared" si="7"/>
        <v>544950</v>
      </c>
      <c r="N15" s="68">
        <f t="shared" si="8"/>
        <v>135450</v>
      </c>
      <c r="O15" s="68">
        <f t="shared" si="9"/>
        <v>3783024</v>
      </c>
      <c r="P15" s="90">
        <f t="shared" si="0"/>
        <v>45000</v>
      </c>
      <c r="Q15" s="81">
        <v>4.2990000000000004</v>
      </c>
      <c r="R15" s="88">
        <f t="shared" si="1"/>
        <v>12187665.000000002</v>
      </c>
      <c r="S15" s="88">
        <f t="shared" si="2"/>
        <v>15970689.000000002</v>
      </c>
      <c r="T15" s="24">
        <f t="shared" si="3"/>
        <v>11201519.937419236</v>
      </c>
    </row>
    <row r="16" spans="1:20" ht="15.5" x14ac:dyDescent="0.35">
      <c r="A16" s="3">
        <v>13</v>
      </c>
      <c r="B16" s="21">
        <v>2037</v>
      </c>
      <c r="C16" s="120">
        <f t="shared" si="4"/>
        <v>66</v>
      </c>
      <c r="D16" s="136">
        <f t="shared" si="10"/>
        <v>22</v>
      </c>
      <c r="E16" s="120">
        <v>173</v>
      </c>
      <c r="F16" s="120">
        <v>43</v>
      </c>
      <c r="G16" s="20">
        <v>6</v>
      </c>
      <c r="H16" s="20">
        <v>1</v>
      </c>
      <c r="I16" s="59">
        <v>38</v>
      </c>
      <c r="J16" s="59">
        <v>50</v>
      </c>
      <c r="K16" s="59">
        <f t="shared" si="5"/>
        <v>2603304</v>
      </c>
      <c r="L16" s="68">
        <f t="shared" si="6"/>
        <v>647064</v>
      </c>
      <c r="M16" s="68">
        <f t="shared" si="7"/>
        <v>570900</v>
      </c>
      <c r="N16" s="68">
        <f t="shared" si="8"/>
        <v>141900</v>
      </c>
      <c r="O16" s="68">
        <f t="shared" si="9"/>
        <v>3963168</v>
      </c>
      <c r="P16" s="90">
        <f t="shared" si="0"/>
        <v>45000</v>
      </c>
      <c r="Q16" s="81">
        <v>4.2990000000000004</v>
      </c>
      <c r="R16" s="88">
        <f t="shared" si="1"/>
        <v>12768030.000000002</v>
      </c>
      <c r="S16" s="88">
        <f t="shared" si="2"/>
        <v>16731198.000000002</v>
      </c>
      <c r="T16" s="24">
        <f t="shared" si="3"/>
        <v>11393131.69779118</v>
      </c>
    </row>
    <row r="17" spans="1:20" ht="15.5" x14ac:dyDescent="0.35">
      <c r="A17" s="3">
        <v>14</v>
      </c>
      <c r="B17" s="21">
        <v>2038</v>
      </c>
      <c r="C17" s="120">
        <f t="shared" si="4"/>
        <v>69</v>
      </c>
      <c r="D17" s="136">
        <f t="shared" si="10"/>
        <v>23</v>
      </c>
      <c r="E17" s="120">
        <v>173</v>
      </c>
      <c r="F17" s="120">
        <v>43</v>
      </c>
      <c r="G17" s="20">
        <v>6</v>
      </c>
      <c r="H17" s="20">
        <v>1</v>
      </c>
      <c r="I17" s="59">
        <v>38</v>
      </c>
      <c r="J17" s="59">
        <v>50</v>
      </c>
      <c r="K17" s="59">
        <f t="shared" si="5"/>
        <v>2721636</v>
      </c>
      <c r="L17" s="68">
        <f t="shared" si="6"/>
        <v>676476</v>
      </c>
      <c r="M17" s="68">
        <f t="shared" si="7"/>
        <v>596850</v>
      </c>
      <c r="N17" s="68">
        <f t="shared" si="8"/>
        <v>148350</v>
      </c>
      <c r="O17" s="68">
        <f t="shared" si="9"/>
        <v>4143312</v>
      </c>
      <c r="P17" s="90">
        <f t="shared" si="0"/>
        <v>45000</v>
      </c>
      <c r="Q17" s="81">
        <v>4.2990000000000004</v>
      </c>
      <c r="R17" s="88">
        <f t="shared" si="1"/>
        <v>13348395.000000002</v>
      </c>
      <c r="S17" s="88">
        <f t="shared" si="2"/>
        <v>17491707</v>
      </c>
      <c r="T17" s="24">
        <f t="shared" si="3"/>
        <v>11564078.951862182</v>
      </c>
    </row>
    <row r="18" spans="1:20" ht="15.5" x14ac:dyDescent="0.35">
      <c r="A18" s="3">
        <v>15</v>
      </c>
      <c r="B18" s="21">
        <v>2039</v>
      </c>
      <c r="C18" s="120">
        <f t="shared" si="4"/>
        <v>72</v>
      </c>
      <c r="D18" s="136">
        <f t="shared" si="10"/>
        <v>24</v>
      </c>
      <c r="E18" s="120">
        <v>173</v>
      </c>
      <c r="F18" s="120">
        <v>43</v>
      </c>
      <c r="G18" s="20">
        <v>6</v>
      </c>
      <c r="H18" s="20">
        <v>1</v>
      </c>
      <c r="I18" s="59">
        <v>38</v>
      </c>
      <c r="J18" s="59">
        <v>50</v>
      </c>
      <c r="K18" s="59">
        <f t="shared" si="5"/>
        <v>2839968</v>
      </c>
      <c r="L18" s="68">
        <f t="shared" si="6"/>
        <v>705888</v>
      </c>
      <c r="M18" s="68">
        <f t="shared" si="7"/>
        <v>622800</v>
      </c>
      <c r="N18" s="68">
        <f t="shared" si="8"/>
        <v>154800</v>
      </c>
      <c r="O18" s="68">
        <f t="shared" si="9"/>
        <v>4323456</v>
      </c>
      <c r="P18" s="90">
        <f t="shared" si="0"/>
        <v>45000</v>
      </c>
      <c r="Q18" s="81">
        <v>4.2990000000000004</v>
      </c>
      <c r="R18" s="88">
        <f t="shared" si="1"/>
        <v>13928760.000000002</v>
      </c>
      <c r="S18" s="88">
        <f t="shared" si="2"/>
        <v>18252216</v>
      </c>
      <c r="T18" s="24">
        <f t="shared" si="3"/>
        <v>11715402.906065529</v>
      </c>
    </row>
    <row r="19" spans="1:20" ht="15.5" x14ac:dyDescent="0.35">
      <c r="A19" s="3">
        <v>16</v>
      </c>
      <c r="B19" s="21">
        <v>2040</v>
      </c>
      <c r="C19" s="120">
        <f t="shared" si="4"/>
        <v>72</v>
      </c>
      <c r="D19" s="136">
        <v>24</v>
      </c>
      <c r="E19" s="120">
        <v>173</v>
      </c>
      <c r="F19" s="120">
        <v>43</v>
      </c>
      <c r="G19" s="20">
        <v>6</v>
      </c>
      <c r="H19" s="20">
        <v>1</v>
      </c>
      <c r="I19" s="59">
        <v>38</v>
      </c>
      <c r="J19" s="59">
        <v>50</v>
      </c>
      <c r="K19" s="59">
        <f t="shared" si="5"/>
        <v>2839968</v>
      </c>
      <c r="L19" s="68">
        <f t="shared" si="6"/>
        <v>705888</v>
      </c>
      <c r="M19" s="68">
        <f t="shared" si="7"/>
        <v>622800</v>
      </c>
      <c r="N19" s="68">
        <f t="shared" si="8"/>
        <v>154800</v>
      </c>
      <c r="O19" s="68">
        <f t="shared" si="9"/>
        <v>4323456</v>
      </c>
      <c r="P19" s="90">
        <f t="shared" si="0"/>
        <v>45000</v>
      </c>
      <c r="Q19" s="81">
        <v>4.2990000000000004</v>
      </c>
      <c r="R19" s="88">
        <f t="shared" si="1"/>
        <v>13928760.000000002</v>
      </c>
      <c r="S19" s="88">
        <f t="shared" si="2"/>
        <v>18252216</v>
      </c>
      <c r="T19" s="24">
        <f t="shared" si="3"/>
        <v>11374177.578704398</v>
      </c>
    </row>
    <row r="20" spans="1:20" ht="15.5" x14ac:dyDescent="0.35">
      <c r="A20" s="3">
        <v>17</v>
      </c>
      <c r="B20" s="21">
        <v>2041</v>
      </c>
      <c r="C20" s="120">
        <f t="shared" si="4"/>
        <v>75</v>
      </c>
      <c r="D20" s="146">
        <f>D19+1</f>
        <v>25</v>
      </c>
      <c r="E20" s="120">
        <v>173</v>
      </c>
      <c r="F20" s="120">
        <v>43</v>
      </c>
      <c r="G20" s="20">
        <v>6</v>
      </c>
      <c r="H20" s="20">
        <v>1</v>
      </c>
      <c r="I20" s="59">
        <v>38</v>
      </c>
      <c r="J20" s="59">
        <v>50</v>
      </c>
      <c r="K20" s="59">
        <f t="shared" si="5"/>
        <v>2958300</v>
      </c>
      <c r="L20" s="68">
        <f t="shared" si="6"/>
        <v>735300</v>
      </c>
      <c r="M20" s="68">
        <f t="shared" si="7"/>
        <v>648750</v>
      </c>
      <c r="N20" s="68">
        <f t="shared" si="8"/>
        <v>161250</v>
      </c>
      <c r="O20" s="68">
        <f t="shared" si="9"/>
        <v>4503600</v>
      </c>
      <c r="P20" s="90">
        <f t="shared" si="0"/>
        <v>45000</v>
      </c>
      <c r="Q20" s="81">
        <v>4.2990000000000004</v>
      </c>
      <c r="R20" s="88">
        <f t="shared" si="1"/>
        <v>14509125.000000002</v>
      </c>
      <c r="S20" s="88">
        <f t="shared" si="2"/>
        <v>19012725</v>
      </c>
      <c r="T20" s="24">
        <f t="shared" si="3"/>
        <v>11503011.305324027</v>
      </c>
    </row>
    <row r="21" spans="1:20" ht="15.5" x14ac:dyDescent="0.35">
      <c r="A21" s="3">
        <v>18</v>
      </c>
      <c r="B21" s="21">
        <v>2042</v>
      </c>
      <c r="C21" s="120">
        <f t="shared" si="4"/>
        <v>78</v>
      </c>
      <c r="D21" s="136">
        <f t="shared" si="10"/>
        <v>26</v>
      </c>
      <c r="E21" s="120">
        <v>173</v>
      </c>
      <c r="F21" s="120">
        <v>43</v>
      </c>
      <c r="G21" s="20">
        <v>6</v>
      </c>
      <c r="H21" s="20">
        <v>1</v>
      </c>
      <c r="I21" s="59">
        <v>38</v>
      </c>
      <c r="J21" s="59">
        <v>50</v>
      </c>
      <c r="K21" s="59">
        <f t="shared" si="5"/>
        <v>3076632</v>
      </c>
      <c r="L21" s="68">
        <f t="shared" si="6"/>
        <v>764712</v>
      </c>
      <c r="M21" s="68">
        <f t="shared" si="7"/>
        <v>674700</v>
      </c>
      <c r="N21" s="68">
        <f t="shared" si="8"/>
        <v>167700</v>
      </c>
      <c r="O21" s="68">
        <f t="shared" si="9"/>
        <v>4683744</v>
      </c>
      <c r="P21" s="90">
        <f t="shared" si="0"/>
        <v>45000</v>
      </c>
      <c r="Q21" s="81">
        <v>4.2990000000000004</v>
      </c>
      <c r="R21" s="88">
        <f t="shared" si="1"/>
        <v>15089490.000000002</v>
      </c>
      <c r="S21" s="88">
        <f t="shared" si="2"/>
        <v>19773234</v>
      </c>
      <c r="T21" s="24">
        <f t="shared" si="3"/>
        <v>11614691.026734941</v>
      </c>
    </row>
    <row r="22" spans="1:20" ht="15.5" x14ac:dyDescent="0.35">
      <c r="A22" s="3">
        <v>19</v>
      </c>
      <c r="B22" s="21">
        <v>2043</v>
      </c>
      <c r="C22" s="120">
        <f t="shared" si="4"/>
        <v>81</v>
      </c>
      <c r="D22" s="136">
        <f t="shared" si="10"/>
        <v>27</v>
      </c>
      <c r="E22" s="120">
        <v>173</v>
      </c>
      <c r="F22" s="120">
        <v>43</v>
      </c>
      <c r="G22" s="20">
        <v>6</v>
      </c>
      <c r="H22" s="20">
        <v>1</v>
      </c>
      <c r="I22" s="59">
        <v>38</v>
      </c>
      <c r="J22" s="59">
        <v>50</v>
      </c>
      <c r="K22" s="59">
        <f t="shared" si="5"/>
        <v>3194964</v>
      </c>
      <c r="L22" s="68">
        <f t="shared" si="6"/>
        <v>794124</v>
      </c>
      <c r="M22" s="68">
        <f t="shared" si="7"/>
        <v>700650</v>
      </c>
      <c r="N22" s="68">
        <f t="shared" si="8"/>
        <v>174150</v>
      </c>
      <c r="O22" s="68">
        <f t="shared" si="9"/>
        <v>4863888</v>
      </c>
      <c r="P22" s="90">
        <f t="shared" si="0"/>
        <v>45000</v>
      </c>
      <c r="Q22" s="81">
        <v>4.2990000000000004</v>
      </c>
      <c r="R22" s="88">
        <f t="shared" si="1"/>
        <v>15669855.000000002</v>
      </c>
      <c r="S22" s="88">
        <f t="shared" si="2"/>
        <v>20533743</v>
      </c>
      <c r="T22" s="24">
        <f t="shared" si="3"/>
        <v>11710106.711047178</v>
      </c>
    </row>
    <row r="23" spans="1:20" ht="15.5" x14ac:dyDescent="0.35">
      <c r="A23" s="57">
        <v>20</v>
      </c>
      <c r="B23" s="21">
        <v>2044</v>
      </c>
      <c r="C23" s="120">
        <f t="shared" si="4"/>
        <v>84</v>
      </c>
      <c r="D23" s="136">
        <f t="shared" si="10"/>
        <v>28</v>
      </c>
      <c r="E23" s="120">
        <v>173</v>
      </c>
      <c r="F23" s="120">
        <v>43</v>
      </c>
      <c r="G23" s="20">
        <v>6</v>
      </c>
      <c r="H23" s="20">
        <v>1</v>
      </c>
      <c r="I23" s="59">
        <v>38</v>
      </c>
      <c r="J23" s="59">
        <v>50</v>
      </c>
      <c r="K23" s="59">
        <f t="shared" si="5"/>
        <v>3313296</v>
      </c>
      <c r="L23" s="68">
        <f t="shared" si="6"/>
        <v>823536</v>
      </c>
      <c r="M23" s="68">
        <f t="shared" si="7"/>
        <v>726600</v>
      </c>
      <c r="N23" s="68">
        <f t="shared" si="8"/>
        <v>180600</v>
      </c>
      <c r="O23" s="68">
        <f t="shared" si="9"/>
        <v>5044032</v>
      </c>
      <c r="P23" s="90">
        <f t="shared" si="0"/>
        <v>45000</v>
      </c>
      <c r="Q23" s="81">
        <v>4.2990000000000004</v>
      </c>
      <c r="R23" s="88">
        <f t="shared" si="1"/>
        <v>16250220.000000002</v>
      </c>
      <c r="S23" s="88">
        <f t="shared" si="2"/>
        <v>21294252</v>
      </c>
      <c r="T23" s="24">
        <f t="shared" si="3"/>
        <v>11790111.035933871</v>
      </c>
    </row>
    <row r="24" spans="1:20" ht="15.5" x14ac:dyDescent="0.35">
      <c r="A24" s="57">
        <v>21</v>
      </c>
      <c r="B24" s="21">
        <v>2045</v>
      </c>
      <c r="C24" s="120">
        <f t="shared" si="4"/>
        <v>87</v>
      </c>
      <c r="D24" s="136">
        <f t="shared" si="10"/>
        <v>29</v>
      </c>
      <c r="E24" s="120">
        <v>173</v>
      </c>
      <c r="F24" s="120">
        <v>43</v>
      </c>
      <c r="G24" s="20">
        <v>6</v>
      </c>
      <c r="H24" s="20">
        <v>1</v>
      </c>
      <c r="I24" s="59">
        <v>38</v>
      </c>
      <c r="J24" s="59">
        <v>50</v>
      </c>
      <c r="K24" s="59">
        <f t="shared" si="5"/>
        <v>3431628</v>
      </c>
      <c r="L24" s="68">
        <f t="shared" si="6"/>
        <v>852948</v>
      </c>
      <c r="M24" s="68">
        <f t="shared" si="7"/>
        <v>752550</v>
      </c>
      <c r="N24" s="68">
        <f t="shared" si="8"/>
        <v>187050</v>
      </c>
      <c r="O24" s="68">
        <f t="shared" si="9"/>
        <v>5224176</v>
      </c>
      <c r="P24" s="90">
        <f t="shared" si="0"/>
        <v>45000</v>
      </c>
      <c r="Q24" s="81">
        <v>4.2990000000000004</v>
      </c>
      <c r="R24" s="88">
        <f t="shared" si="1"/>
        <v>16830585.000000004</v>
      </c>
      <c r="S24" s="88">
        <f t="shared" si="2"/>
        <v>22054761.000000004</v>
      </c>
      <c r="T24" s="24">
        <f t="shared" si="3"/>
        <v>11855520.805897448</v>
      </c>
    </row>
    <row r="25" spans="1:20" ht="15.5" x14ac:dyDescent="0.35">
      <c r="A25" s="57">
        <v>22</v>
      </c>
      <c r="B25" s="21">
        <v>2046</v>
      </c>
      <c r="C25" s="120">
        <f t="shared" si="4"/>
        <v>90</v>
      </c>
      <c r="D25" s="136">
        <f t="shared" si="10"/>
        <v>30</v>
      </c>
      <c r="E25" s="120">
        <v>173</v>
      </c>
      <c r="F25" s="120">
        <v>43</v>
      </c>
      <c r="G25" s="20">
        <v>6</v>
      </c>
      <c r="H25" s="20">
        <v>1</v>
      </c>
      <c r="I25" s="59">
        <v>38</v>
      </c>
      <c r="J25" s="59">
        <v>50</v>
      </c>
      <c r="K25" s="59">
        <f t="shared" si="5"/>
        <v>3549960</v>
      </c>
      <c r="L25" s="68">
        <f t="shared" si="6"/>
        <v>882360</v>
      </c>
      <c r="M25" s="68">
        <f t="shared" si="7"/>
        <v>778500</v>
      </c>
      <c r="N25" s="68">
        <f t="shared" si="8"/>
        <v>193500</v>
      </c>
      <c r="O25" s="68">
        <f t="shared" si="9"/>
        <v>5404320</v>
      </c>
      <c r="P25" s="90">
        <f t="shared" si="0"/>
        <v>45000</v>
      </c>
      <c r="Q25" s="81">
        <v>4.2990000000000004</v>
      </c>
      <c r="R25" s="88">
        <f t="shared" si="1"/>
        <v>17410950.000000004</v>
      </c>
      <c r="S25" s="88">
        <f t="shared" si="2"/>
        <v>22815270.000000004</v>
      </c>
      <c r="T25" s="24">
        <f t="shared" si="3"/>
        <v>11907118.318611428</v>
      </c>
    </row>
    <row r="26" spans="1:20" ht="15.5" x14ac:dyDescent="0.35">
      <c r="A26" s="57">
        <v>23</v>
      </c>
      <c r="B26" s="21">
        <v>2047</v>
      </c>
      <c r="C26" s="120">
        <f t="shared" si="4"/>
        <v>90</v>
      </c>
      <c r="D26" s="136">
        <v>30</v>
      </c>
      <c r="E26" s="120">
        <v>173</v>
      </c>
      <c r="F26" s="120">
        <v>43</v>
      </c>
      <c r="G26" s="20">
        <v>6</v>
      </c>
      <c r="H26" s="20">
        <v>1</v>
      </c>
      <c r="I26" s="59">
        <v>38</v>
      </c>
      <c r="J26" s="59">
        <v>50</v>
      </c>
      <c r="K26" s="59">
        <f t="shared" si="5"/>
        <v>3549960</v>
      </c>
      <c r="L26" s="68">
        <f t="shared" si="6"/>
        <v>882360</v>
      </c>
      <c r="M26" s="68">
        <f t="shared" si="7"/>
        <v>778500</v>
      </c>
      <c r="N26" s="68">
        <f t="shared" si="8"/>
        <v>193500</v>
      </c>
      <c r="O26" s="68">
        <f t="shared" si="9"/>
        <v>5404320</v>
      </c>
      <c r="P26" s="90">
        <f t="shared" si="0"/>
        <v>45000</v>
      </c>
      <c r="Q26" s="81">
        <v>4.2990000000000004</v>
      </c>
      <c r="R26" s="88">
        <f t="shared" si="1"/>
        <v>17410950.000000004</v>
      </c>
      <c r="S26" s="88">
        <f t="shared" si="2"/>
        <v>22815270.000000004</v>
      </c>
      <c r="T26" s="24">
        <f t="shared" si="3"/>
        <v>11560309.047195561</v>
      </c>
    </row>
    <row r="27" spans="1:20" ht="15.5" x14ac:dyDescent="0.35">
      <c r="A27" s="57">
        <v>24</v>
      </c>
      <c r="B27" s="21">
        <v>2049</v>
      </c>
      <c r="C27" s="120">
        <f t="shared" si="4"/>
        <v>90</v>
      </c>
      <c r="D27" s="136">
        <v>30</v>
      </c>
      <c r="E27" s="120">
        <v>173</v>
      </c>
      <c r="F27" s="120">
        <v>43</v>
      </c>
      <c r="G27" s="20">
        <v>6</v>
      </c>
      <c r="H27" s="20">
        <v>1</v>
      </c>
      <c r="I27" s="59">
        <v>38</v>
      </c>
      <c r="J27" s="59">
        <v>50</v>
      </c>
      <c r="K27" s="59">
        <f t="shared" si="5"/>
        <v>3549960</v>
      </c>
      <c r="L27" s="68">
        <f t="shared" si="6"/>
        <v>882360</v>
      </c>
      <c r="M27" s="68">
        <f t="shared" si="7"/>
        <v>778500</v>
      </c>
      <c r="N27" s="68">
        <f t="shared" si="8"/>
        <v>193500</v>
      </c>
      <c r="O27" s="68">
        <f t="shared" si="9"/>
        <v>5404320</v>
      </c>
      <c r="P27" s="90">
        <f t="shared" si="0"/>
        <v>45000</v>
      </c>
      <c r="Q27" s="81">
        <v>4.2990000000000004</v>
      </c>
      <c r="R27" s="88">
        <f t="shared" si="1"/>
        <v>17410950.000000004</v>
      </c>
      <c r="S27" s="88">
        <f t="shared" si="2"/>
        <v>22815270.000000004</v>
      </c>
      <c r="T27" s="24">
        <f t="shared" si="3"/>
        <v>11223601.016694721</v>
      </c>
    </row>
    <row r="28" spans="1:20" ht="15.5" x14ac:dyDescent="0.35">
      <c r="A28" s="57">
        <v>25</v>
      </c>
      <c r="B28" s="21">
        <v>2050</v>
      </c>
      <c r="C28" s="120">
        <f t="shared" si="4"/>
        <v>90</v>
      </c>
      <c r="D28" s="136">
        <v>30</v>
      </c>
      <c r="E28" s="120">
        <v>173</v>
      </c>
      <c r="F28" s="120">
        <v>43</v>
      </c>
      <c r="G28" s="20">
        <v>6</v>
      </c>
      <c r="H28" s="20">
        <v>1</v>
      </c>
      <c r="I28" s="59">
        <v>38</v>
      </c>
      <c r="J28" s="59">
        <v>50</v>
      </c>
      <c r="K28" s="59">
        <f t="shared" si="5"/>
        <v>3549960</v>
      </c>
      <c r="L28" s="68">
        <f t="shared" si="6"/>
        <v>882360</v>
      </c>
      <c r="M28" s="68">
        <f t="shared" si="7"/>
        <v>778500</v>
      </c>
      <c r="N28" s="68">
        <f t="shared" si="8"/>
        <v>193500</v>
      </c>
      <c r="O28" s="68">
        <f t="shared" si="9"/>
        <v>5404320</v>
      </c>
      <c r="P28" s="90">
        <f t="shared" si="0"/>
        <v>45000</v>
      </c>
      <c r="Q28" s="81">
        <v>4.2990000000000004</v>
      </c>
      <c r="R28" s="88">
        <f t="shared" si="1"/>
        <v>17410950.000000004</v>
      </c>
      <c r="S28" s="88">
        <f t="shared" si="2"/>
        <v>22815270.000000004</v>
      </c>
      <c r="T28" s="24">
        <f t="shared" si="3"/>
        <v>10896700.016208468</v>
      </c>
    </row>
    <row r="29" spans="1:20" ht="15.5" x14ac:dyDescent="0.35">
      <c r="A29" s="57">
        <v>26</v>
      </c>
      <c r="B29" s="21">
        <v>2051</v>
      </c>
      <c r="C29" s="120"/>
      <c r="D29" s="120"/>
      <c r="E29" s="120"/>
      <c r="F29" s="120"/>
      <c r="G29" s="20"/>
      <c r="H29" s="20"/>
      <c r="I29" s="59"/>
      <c r="J29" s="65"/>
      <c r="K29" s="65"/>
      <c r="L29" s="65"/>
      <c r="M29" s="65"/>
      <c r="N29" s="65"/>
      <c r="O29" s="65"/>
      <c r="P29" s="74"/>
      <c r="Q29" s="81"/>
      <c r="R29" s="73"/>
      <c r="S29" s="73"/>
      <c r="T29" s="24"/>
    </row>
    <row r="30" spans="1:20" ht="15.5" x14ac:dyDescent="0.35">
      <c r="A30" s="57">
        <v>27</v>
      </c>
      <c r="B30" s="21">
        <v>2052</v>
      </c>
      <c r="C30" s="120"/>
      <c r="D30" s="120"/>
      <c r="E30" s="120"/>
      <c r="F30" s="120"/>
      <c r="G30" s="20"/>
      <c r="H30" s="20"/>
      <c r="I30" s="59"/>
      <c r="J30" s="65"/>
      <c r="K30" s="65"/>
      <c r="L30" s="65"/>
      <c r="M30" s="65"/>
      <c r="N30" s="65"/>
      <c r="O30" s="65"/>
      <c r="P30" s="74"/>
      <c r="Q30" s="81"/>
      <c r="R30" s="73"/>
      <c r="S30" s="73"/>
      <c r="T30" s="24"/>
    </row>
    <row r="31" spans="1:20" ht="15.5" x14ac:dyDescent="0.35">
      <c r="A31" s="57">
        <v>28</v>
      </c>
      <c r="B31" s="21">
        <v>2053</v>
      </c>
      <c r="C31" s="120"/>
      <c r="D31" s="120"/>
      <c r="E31" s="120"/>
      <c r="F31" s="120"/>
      <c r="G31" s="20"/>
      <c r="H31" s="20"/>
      <c r="I31" s="59"/>
      <c r="J31" s="65"/>
      <c r="K31" s="65"/>
      <c r="L31" s="65"/>
      <c r="M31" s="65"/>
      <c r="N31" s="65"/>
      <c r="O31" s="65"/>
      <c r="P31" s="74"/>
      <c r="Q31" s="81"/>
      <c r="R31" s="73"/>
      <c r="S31" s="73"/>
      <c r="T31" s="24"/>
    </row>
    <row r="32" spans="1:20" ht="15.5" x14ac:dyDescent="0.35">
      <c r="A32" s="57">
        <v>29</v>
      </c>
      <c r="B32" s="21">
        <v>2054</v>
      </c>
      <c r="C32" s="120"/>
      <c r="D32" s="120"/>
      <c r="E32" s="120"/>
      <c r="F32" s="120"/>
      <c r="G32" s="20"/>
      <c r="H32" s="20"/>
      <c r="I32" s="59"/>
      <c r="J32" s="65"/>
      <c r="K32" s="65"/>
      <c r="L32" s="65"/>
      <c r="M32" s="65"/>
      <c r="N32" s="65"/>
      <c r="O32" s="65"/>
      <c r="P32" s="74"/>
      <c r="Q32" s="81"/>
      <c r="R32" s="73"/>
      <c r="S32" s="73"/>
      <c r="T32" s="24"/>
    </row>
    <row r="33" spans="1:20" ht="15.5" x14ac:dyDescent="0.35">
      <c r="A33" s="4">
        <v>30</v>
      </c>
      <c r="B33" s="21">
        <v>2055</v>
      </c>
      <c r="C33" s="120"/>
      <c r="D33" s="120"/>
      <c r="E33" s="120"/>
      <c r="F33" s="120"/>
      <c r="G33" s="20"/>
      <c r="H33" s="20"/>
      <c r="I33" s="59"/>
      <c r="J33" s="65"/>
      <c r="K33" s="65"/>
      <c r="L33" s="65"/>
      <c r="M33" s="65"/>
      <c r="N33" s="65"/>
      <c r="O33" s="65"/>
      <c r="P33" s="74"/>
      <c r="Q33" s="81"/>
      <c r="R33" s="73"/>
      <c r="S33" s="73"/>
      <c r="T33" s="24"/>
    </row>
    <row r="34" spans="1:20" x14ac:dyDescent="0.3">
      <c r="A34" s="26" t="s">
        <v>13</v>
      </c>
      <c r="B34" s="26"/>
      <c r="C34" s="26"/>
      <c r="D34" s="26"/>
      <c r="E34" s="26"/>
      <c r="F34" s="26"/>
      <c r="G34" s="27"/>
      <c r="H34" s="27"/>
      <c r="I34" s="60"/>
      <c r="J34" s="66"/>
      <c r="K34" s="66"/>
      <c r="L34" s="66"/>
      <c r="M34" s="66"/>
      <c r="N34" s="66"/>
      <c r="O34" s="66"/>
      <c r="P34" s="75"/>
      <c r="Q34" s="82"/>
      <c r="R34" s="27"/>
      <c r="S34" s="27"/>
      <c r="T34" s="28">
        <f>SUM(T8:T33)</f>
        <v>223194680.45944691</v>
      </c>
    </row>
    <row r="40" spans="1:20" ht="17.5" x14ac:dyDescent="0.3">
      <c r="A40" s="206" t="s">
        <v>22</v>
      </c>
      <c r="B40" s="207"/>
      <c r="C40" s="207"/>
      <c r="D40" s="207"/>
      <c r="E40" s="207"/>
      <c r="F40" s="207"/>
      <c r="G40" s="207"/>
      <c r="H40" s="207"/>
      <c r="I40" s="207"/>
      <c r="J40" s="207"/>
      <c r="K40" s="207"/>
      <c r="L40" s="207"/>
      <c r="M40" s="207"/>
      <c r="N40" s="207"/>
      <c r="O40" s="207"/>
      <c r="P40" s="207"/>
      <c r="Q40" s="207"/>
      <c r="R40" s="207"/>
      <c r="S40" s="207"/>
      <c r="T40" s="207"/>
    </row>
    <row r="41" spans="1:20" ht="17.5" customHeight="1" x14ac:dyDescent="0.3">
      <c r="A41" s="208" t="s">
        <v>49</v>
      </c>
      <c r="B41" s="209"/>
      <c r="C41" s="209"/>
      <c r="D41" s="209"/>
      <c r="E41" s="209"/>
      <c r="F41" s="209"/>
      <c r="G41" s="209"/>
      <c r="H41" s="209"/>
      <c r="I41" s="209"/>
      <c r="J41" s="209"/>
      <c r="K41" s="209"/>
      <c r="L41" s="209"/>
      <c r="M41" s="209"/>
      <c r="N41" s="209"/>
      <c r="O41" s="209"/>
      <c r="P41" s="209"/>
      <c r="Q41" s="209"/>
      <c r="R41" s="209"/>
      <c r="S41" s="209"/>
      <c r="T41" s="209"/>
    </row>
    <row r="42" spans="1:20" ht="165" customHeight="1" thickBot="1" x14ac:dyDescent="0.35">
      <c r="A42" s="18" t="s">
        <v>7</v>
      </c>
      <c r="B42" s="18" t="s">
        <v>8</v>
      </c>
      <c r="C42" s="18" t="s">
        <v>97</v>
      </c>
      <c r="D42" s="18" t="s">
        <v>59</v>
      </c>
      <c r="E42" s="18" t="s">
        <v>50</v>
      </c>
      <c r="F42" s="18" t="s">
        <v>95</v>
      </c>
      <c r="G42" s="18" t="s">
        <v>51</v>
      </c>
      <c r="H42" s="18" t="s">
        <v>52</v>
      </c>
      <c r="I42" s="63" t="s">
        <v>53</v>
      </c>
      <c r="J42" s="64" t="s">
        <v>54</v>
      </c>
      <c r="K42" s="64" t="s">
        <v>98</v>
      </c>
      <c r="L42" s="64" t="s">
        <v>99</v>
      </c>
      <c r="M42" s="64" t="s">
        <v>100</v>
      </c>
      <c r="N42" s="64" t="s">
        <v>101</v>
      </c>
      <c r="O42" s="64" t="s">
        <v>43</v>
      </c>
      <c r="P42" s="85" t="s">
        <v>44</v>
      </c>
      <c r="Q42" s="83" t="s">
        <v>41</v>
      </c>
      <c r="R42" s="18" t="s">
        <v>42</v>
      </c>
      <c r="S42" s="18" t="s">
        <v>45</v>
      </c>
      <c r="T42" s="19" t="s">
        <v>19</v>
      </c>
    </row>
    <row r="43" spans="1:20" ht="15.5" x14ac:dyDescent="0.35">
      <c r="A43" s="1">
        <v>1</v>
      </c>
      <c r="B43" s="21">
        <v>2025</v>
      </c>
      <c r="C43" s="123"/>
      <c r="D43" s="136"/>
      <c r="E43" s="123"/>
      <c r="F43" s="123"/>
      <c r="G43" s="12"/>
      <c r="H43" s="12"/>
      <c r="I43" s="59"/>
      <c r="J43" s="65"/>
      <c r="K43" s="65"/>
      <c r="L43" s="65"/>
      <c r="M43" s="65"/>
      <c r="N43" s="65"/>
      <c r="O43" s="65"/>
      <c r="P43" s="74"/>
      <c r="Q43" s="81"/>
      <c r="R43" s="73"/>
      <c r="S43" s="73"/>
      <c r="T43" s="23"/>
    </row>
    <row r="44" spans="1:20" ht="15.5" x14ac:dyDescent="0.35">
      <c r="A44" s="3">
        <v>2</v>
      </c>
      <c r="B44" s="21">
        <v>2026</v>
      </c>
      <c r="C44" s="123"/>
      <c r="D44" s="136"/>
      <c r="E44" s="123"/>
      <c r="F44" s="123"/>
      <c r="G44" s="12"/>
      <c r="H44" s="12"/>
      <c r="I44" s="59"/>
      <c r="J44" s="65"/>
      <c r="K44" s="65"/>
      <c r="L44" s="65"/>
      <c r="M44" s="65"/>
      <c r="N44" s="65"/>
      <c r="O44" s="65"/>
      <c r="P44" s="74"/>
      <c r="Q44" s="81"/>
      <c r="R44" s="73"/>
      <c r="S44" s="73"/>
      <c r="T44" s="23"/>
    </row>
    <row r="45" spans="1:20" ht="15.5" x14ac:dyDescent="0.35">
      <c r="A45" s="3">
        <v>3</v>
      </c>
      <c r="B45" s="21">
        <v>2027</v>
      </c>
      <c r="C45" s="120"/>
      <c r="D45" s="136"/>
      <c r="E45" s="120"/>
      <c r="F45" s="120"/>
      <c r="G45" s="20"/>
      <c r="H45" s="20"/>
      <c r="I45" s="59"/>
      <c r="J45" s="65"/>
      <c r="K45" s="65"/>
      <c r="L45" s="65"/>
      <c r="M45" s="65"/>
      <c r="N45" s="65"/>
      <c r="O45" s="65"/>
      <c r="P45" s="74"/>
      <c r="Q45" s="81"/>
      <c r="R45" s="73"/>
      <c r="S45" s="73"/>
      <c r="T45" s="24"/>
    </row>
    <row r="46" spans="1:20" ht="15.5" x14ac:dyDescent="0.35">
      <c r="A46" s="3">
        <v>4</v>
      </c>
      <c r="B46" s="21">
        <v>2028</v>
      </c>
      <c r="C46" s="120"/>
      <c r="D46" s="136"/>
      <c r="E46" s="120"/>
      <c r="F46" s="120"/>
      <c r="G46" s="20"/>
      <c r="H46" s="20"/>
      <c r="I46" s="59"/>
      <c r="J46" s="65"/>
      <c r="K46" s="65"/>
      <c r="L46" s="65"/>
      <c r="M46" s="65"/>
      <c r="N46" s="65"/>
      <c r="O46" s="65"/>
      <c r="P46" s="74"/>
      <c r="Q46" s="81"/>
      <c r="R46" s="73"/>
      <c r="S46" s="73"/>
      <c r="T46" s="24"/>
    </row>
    <row r="47" spans="1:20" ht="15.5" x14ac:dyDescent="0.35">
      <c r="A47" s="121">
        <v>5</v>
      </c>
      <c r="B47" s="122">
        <v>2029</v>
      </c>
      <c r="C47" s="120"/>
      <c r="D47" s="136"/>
      <c r="E47" s="120"/>
      <c r="F47" s="120"/>
      <c r="G47" s="20"/>
      <c r="H47" s="20"/>
      <c r="I47" s="59"/>
      <c r="J47" s="59"/>
      <c r="K47" s="59"/>
      <c r="L47" s="68"/>
      <c r="M47" s="68"/>
      <c r="N47" s="68"/>
      <c r="O47" s="68"/>
      <c r="P47" s="90"/>
      <c r="Q47" s="81"/>
      <c r="R47" s="88"/>
      <c r="S47" s="88"/>
      <c r="T47" s="24"/>
    </row>
    <row r="48" spans="1:20" ht="15.5" x14ac:dyDescent="0.35">
      <c r="A48" s="3">
        <v>6</v>
      </c>
      <c r="B48" s="21">
        <v>2030</v>
      </c>
      <c r="C48" s="120">
        <f>D48*3</f>
        <v>45</v>
      </c>
      <c r="D48" s="136">
        <v>15</v>
      </c>
      <c r="E48" s="120">
        <v>36</v>
      </c>
      <c r="F48" s="120">
        <v>9</v>
      </c>
      <c r="G48" s="20">
        <v>6</v>
      </c>
      <c r="H48" s="20">
        <v>1</v>
      </c>
      <c r="I48" s="59">
        <v>38</v>
      </c>
      <c r="J48" s="59">
        <v>50</v>
      </c>
      <c r="K48" s="59">
        <f>C48*E48*G48*I48</f>
        <v>369360</v>
      </c>
      <c r="L48" s="68">
        <f>C48*F48*G48*I48</f>
        <v>92340</v>
      </c>
      <c r="M48" s="68">
        <f>C48*E48*H48*J48</f>
        <v>81000</v>
      </c>
      <c r="N48" s="68">
        <f>C48*F48*H48*J48</f>
        <v>20250</v>
      </c>
      <c r="O48" s="68">
        <f>K48+L48+M48+N48</f>
        <v>562950</v>
      </c>
      <c r="P48" s="90">
        <f t="shared" ref="P48:P67" si="11">(E48/24*5000)+(F48/24*5000)</f>
        <v>9375</v>
      </c>
      <c r="Q48" s="81">
        <v>4.2990000000000004</v>
      </c>
      <c r="R48" s="88">
        <f t="shared" ref="R48:R60" si="12">(P48*Q48)*C48</f>
        <v>1813640.625</v>
      </c>
      <c r="S48" s="88">
        <f t="shared" ref="S48:S67" si="13">O48+R48</f>
        <v>2376590.625</v>
      </c>
      <c r="T48" s="24">
        <f t="shared" ref="T48:T60" si="14">S48/(1+0.03)^A48</f>
        <v>1990357.2330194667</v>
      </c>
    </row>
    <row r="49" spans="1:22" ht="15.5" x14ac:dyDescent="0.35">
      <c r="A49" s="3">
        <v>7</v>
      </c>
      <c r="B49" s="21">
        <v>2031</v>
      </c>
      <c r="C49" s="120">
        <f t="shared" ref="C49:C67" si="15">D49*3</f>
        <v>48</v>
      </c>
      <c r="D49" s="136">
        <f>D48+1</f>
        <v>16</v>
      </c>
      <c r="E49" s="120">
        <v>36</v>
      </c>
      <c r="F49" s="120">
        <v>9</v>
      </c>
      <c r="G49" s="20">
        <v>6</v>
      </c>
      <c r="H49" s="20">
        <v>1</v>
      </c>
      <c r="I49" s="59">
        <v>38</v>
      </c>
      <c r="J49" s="59">
        <v>50</v>
      </c>
      <c r="K49" s="59">
        <f t="shared" ref="K49:K67" si="16">C49*E49*G49*I49</f>
        <v>393984</v>
      </c>
      <c r="L49" s="68">
        <f t="shared" ref="L49:L67" si="17">C49*F49*G49*I49</f>
        <v>98496</v>
      </c>
      <c r="M49" s="68">
        <f t="shared" ref="M49:M67" si="18">C49*E49*H49*J49</f>
        <v>86400</v>
      </c>
      <c r="N49" s="68">
        <f t="shared" ref="N49:N67" si="19">(C49*F49*H49*J49)+(C49*E49*H49*J49)</f>
        <v>108000</v>
      </c>
      <c r="O49" s="68">
        <f t="shared" ref="O49:O67" si="20">K49+L49+M49+N49</f>
        <v>686880</v>
      </c>
      <c r="P49" s="90">
        <f t="shared" si="11"/>
        <v>9375</v>
      </c>
      <c r="Q49" s="81">
        <v>4.2990000000000004</v>
      </c>
      <c r="R49" s="88">
        <f t="shared" si="12"/>
        <v>1934550</v>
      </c>
      <c r="S49" s="88">
        <f t="shared" si="13"/>
        <v>2621430</v>
      </c>
      <c r="T49" s="24">
        <f t="shared" si="14"/>
        <v>2131462.4805808077</v>
      </c>
      <c r="V49" s="87"/>
    </row>
    <row r="50" spans="1:22" ht="15.5" x14ac:dyDescent="0.35">
      <c r="A50" s="3">
        <v>8</v>
      </c>
      <c r="B50" s="21">
        <v>2032</v>
      </c>
      <c r="C50" s="120">
        <f t="shared" si="15"/>
        <v>51</v>
      </c>
      <c r="D50" s="136">
        <f t="shared" ref="D50:D64" si="21">D49+1</f>
        <v>17</v>
      </c>
      <c r="E50" s="120">
        <v>36</v>
      </c>
      <c r="F50" s="120">
        <v>9</v>
      </c>
      <c r="G50" s="20">
        <v>6</v>
      </c>
      <c r="H50" s="20">
        <v>1</v>
      </c>
      <c r="I50" s="59">
        <v>38</v>
      </c>
      <c r="J50" s="59">
        <v>50</v>
      </c>
      <c r="K50" s="59">
        <f t="shared" si="16"/>
        <v>418608</v>
      </c>
      <c r="L50" s="68">
        <f t="shared" si="17"/>
        <v>104652</v>
      </c>
      <c r="M50" s="68">
        <f t="shared" si="18"/>
        <v>91800</v>
      </c>
      <c r="N50" s="68">
        <f t="shared" si="19"/>
        <v>114750</v>
      </c>
      <c r="O50" s="68">
        <f t="shared" si="20"/>
        <v>729810</v>
      </c>
      <c r="P50" s="90">
        <f t="shared" si="11"/>
        <v>9375</v>
      </c>
      <c r="Q50" s="81">
        <v>4.2990000000000004</v>
      </c>
      <c r="R50" s="88">
        <f t="shared" si="12"/>
        <v>2055459.375</v>
      </c>
      <c r="S50" s="88">
        <f t="shared" si="13"/>
        <v>2785269.375</v>
      </c>
      <c r="T50" s="24">
        <f t="shared" si="14"/>
        <v>2198717.3646768043</v>
      </c>
    </row>
    <row r="51" spans="1:22" ht="15.5" x14ac:dyDescent="0.35">
      <c r="A51" s="3">
        <v>9</v>
      </c>
      <c r="B51" s="21">
        <v>2033</v>
      </c>
      <c r="C51" s="120">
        <f t="shared" si="15"/>
        <v>54</v>
      </c>
      <c r="D51" s="136">
        <f t="shared" si="21"/>
        <v>18</v>
      </c>
      <c r="E51" s="120">
        <v>36</v>
      </c>
      <c r="F51" s="120">
        <v>9</v>
      </c>
      <c r="G51" s="20">
        <v>6</v>
      </c>
      <c r="H51" s="20">
        <v>1</v>
      </c>
      <c r="I51" s="59">
        <v>38</v>
      </c>
      <c r="J51" s="59">
        <v>50</v>
      </c>
      <c r="K51" s="59">
        <f t="shared" si="16"/>
        <v>443232</v>
      </c>
      <c r="L51" s="68">
        <f t="shared" si="17"/>
        <v>110808</v>
      </c>
      <c r="M51" s="68">
        <f t="shared" si="18"/>
        <v>97200</v>
      </c>
      <c r="N51" s="68">
        <f t="shared" si="19"/>
        <v>121500</v>
      </c>
      <c r="O51" s="68">
        <f t="shared" si="20"/>
        <v>772740</v>
      </c>
      <c r="P51" s="90">
        <f t="shared" si="11"/>
        <v>9375</v>
      </c>
      <c r="Q51" s="81">
        <v>4.2990000000000004</v>
      </c>
      <c r="R51" s="88">
        <f t="shared" si="12"/>
        <v>2176368.75</v>
      </c>
      <c r="S51" s="88">
        <f t="shared" si="13"/>
        <v>2949108.75</v>
      </c>
      <c r="T51" s="24">
        <f t="shared" si="14"/>
        <v>2260246.2915009982</v>
      </c>
    </row>
    <row r="52" spans="1:22" ht="15.5" x14ac:dyDescent="0.35">
      <c r="A52" s="3">
        <v>10</v>
      </c>
      <c r="B52" s="21">
        <v>2034</v>
      </c>
      <c r="C52" s="120">
        <f t="shared" si="15"/>
        <v>57</v>
      </c>
      <c r="D52" s="146">
        <f t="shared" si="21"/>
        <v>19</v>
      </c>
      <c r="E52" s="120">
        <v>36</v>
      </c>
      <c r="F52" s="120">
        <v>9</v>
      </c>
      <c r="G52" s="20">
        <v>6</v>
      </c>
      <c r="H52" s="20">
        <v>1</v>
      </c>
      <c r="I52" s="59">
        <v>38</v>
      </c>
      <c r="J52" s="59">
        <v>50</v>
      </c>
      <c r="K52" s="59">
        <f t="shared" si="16"/>
        <v>467856</v>
      </c>
      <c r="L52" s="68">
        <f t="shared" si="17"/>
        <v>116964</v>
      </c>
      <c r="M52" s="68">
        <f t="shared" si="18"/>
        <v>102600</v>
      </c>
      <c r="N52" s="68">
        <f t="shared" si="19"/>
        <v>128250</v>
      </c>
      <c r="O52" s="68">
        <f t="shared" si="20"/>
        <v>815670</v>
      </c>
      <c r="P52" s="90">
        <f t="shared" si="11"/>
        <v>9375</v>
      </c>
      <c r="Q52" s="81">
        <v>4.2990000000000004</v>
      </c>
      <c r="R52" s="88">
        <f t="shared" si="12"/>
        <v>2297278.125</v>
      </c>
      <c r="S52" s="88">
        <f t="shared" si="13"/>
        <v>3112948.125</v>
      </c>
      <c r="T52" s="24">
        <f t="shared" si="14"/>
        <v>2316325.7572016702</v>
      </c>
    </row>
    <row r="53" spans="1:22" ht="15.5" x14ac:dyDescent="0.35">
      <c r="A53" s="3">
        <v>11</v>
      </c>
      <c r="B53" s="21">
        <v>2035</v>
      </c>
      <c r="C53" s="120">
        <f t="shared" si="15"/>
        <v>60</v>
      </c>
      <c r="D53" s="136">
        <f t="shared" si="21"/>
        <v>20</v>
      </c>
      <c r="E53" s="120">
        <v>36</v>
      </c>
      <c r="F53" s="120">
        <v>9</v>
      </c>
      <c r="G53" s="20">
        <v>6</v>
      </c>
      <c r="H53" s="20">
        <v>1</v>
      </c>
      <c r="I53" s="59">
        <v>38</v>
      </c>
      <c r="J53" s="59">
        <v>50</v>
      </c>
      <c r="K53" s="59">
        <f t="shared" si="16"/>
        <v>492480</v>
      </c>
      <c r="L53" s="68">
        <f t="shared" si="17"/>
        <v>123120</v>
      </c>
      <c r="M53" s="68">
        <f t="shared" si="18"/>
        <v>108000</v>
      </c>
      <c r="N53" s="68">
        <f t="shared" si="19"/>
        <v>135000</v>
      </c>
      <c r="O53" s="68">
        <f t="shared" si="20"/>
        <v>858600</v>
      </c>
      <c r="P53" s="90">
        <f t="shared" si="11"/>
        <v>9375</v>
      </c>
      <c r="Q53" s="81">
        <v>4.2990000000000004</v>
      </c>
      <c r="R53" s="88">
        <f t="shared" si="12"/>
        <v>2418187.5</v>
      </c>
      <c r="S53" s="88">
        <f t="shared" si="13"/>
        <v>3276787.5</v>
      </c>
      <c r="T53" s="24">
        <f t="shared" si="14"/>
        <v>2367221.0088928668</v>
      </c>
    </row>
    <row r="54" spans="1:22" ht="15.5" x14ac:dyDescent="0.35">
      <c r="A54" s="3">
        <v>12</v>
      </c>
      <c r="B54" s="21">
        <v>2036</v>
      </c>
      <c r="C54" s="120">
        <f t="shared" si="15"/>
        <v>63</v>
      </c>
      <c r="D54" s="136">
        <f t="shared" si="21"/>
        <v>21</v>
      </c>
      <c r="E54" s="120">
        <v>36</v>
      </c>
      <c r="F54" s="120">
        <v>9</v>
      </c>
      <c r="G54" s="20">
        <v>6</v>
      </c>
      <c r="H54" s="20">
        <v>1</v>
      </c>
      <c r="I54" s="59">
        <v>38</v>
      </c>
      <c r="J54" s="59">
        <v>50</v>
      </c>
      <c r="K54" s="59">
        <f t="shared" si="16"/>
        <v>517104</v>
      </c>
      <c r="L54" s="68">
        <f t="shared" si="17"/>
        <v>129276</v>
      </c>
      <c r="M54" s="68">
        <f t="shared" si="18"/>
        <v>113400</v>
      </c>
      <c r="N54" s="68">
        <f t="shared" si="19"/>
        <v>141750</v>
      </c>
      <c r="O54" s="68">
        <f t="shared" si="20"/>
        <v>901530</v>
      </c>
      <c r="P54" s="90">
        <f t="shared" si="11"/>
        <v>9375</v>
      </c>
      <c r="Q54" s="81">
        <v>4.2990000000000004</v>
      </c>
      <c r="R54" s="88">
        <f t="shared" si="12"/>
        <v>2539096.875</v>
      </c>
      <c r="S54" s="88">
        <f t="shared" si="13"/>
        <v>3440626.875</v>
      </c>
      <c r="T54" s="24">
        <f t="shared" si="14"/>
        <v>2413186.4653762239</v>
      </c>
    </row>
    <row r="55" spans="1:22" ht="15.5" x14ac:dyDescent="0.35">
      <c r="A55" s="3">
        <v>13</v>
      </c>
      <c r="B55" s="21">
        <v>2037</v>
      </c>
      <c r="C55" s="120">
        <f t="shared" si="15"/>
        <v>66</v>
      </c>
      <c r="D55" s="136">
        <f t="shared" si="21"/>
        <v>22</v>
      </c>
      <c r="E55" s="120">
        <v>36</v>
      </c>
      <c r="F55" s="120">
        <v>9</v>
      </c>
      <c r="G55" s="20">
        <v>6</v>
      </c>
      <c r="H55" s="20">
        <v>1</v>
      </c>
      <c r="I55" s="59">
        <v>38</v>
      </c>
      <c r="J55" s="59">
        <v>50</v>
      </c>
      <c r="K55" s="59">
        <f t="shared" si="16"/>
        <v>541728</v>
      </c>
      <c r="L55" s="68">
        <f t="shared" si="17"/>
        <v>135432</v>
      </c>
      <c r="M55" s="68">
        <f t="shared" si="18"/>
        <v>118800</v>
      </c>
      <c r="N55" s="68">
        <f t="shared" si="19"/>
        <v>148500</v>
      </c>
      <c r="O55" s="68">
        <f t="shared" si="20"/>
        <v>944460</v>
      </c>
      <c r="P55" s="90">
        <f t="shared" si="11"/>
        <v>9375</v>
      </c>
      <c r="Q55" s="81">
        <v>4.2990000000000004</v>
      </c>
      <c r="R55" s="88">
        <f t="shared" si="12"/>
        <v>2660006.25</v>
      </c>
      <c r="S55" s="88">
        <f t="shared" si="13"/>
        <v>3604466.25</v>
      </c>
      <c r="T55" s="24">
        <f t="shared" si="14"/>
        <v>2454466.122897685</v>
      </c>
    </row>
    <row r="56" spans="1:22" ht="15.5" x14ac:dyDescent="0.35">
      <c r="A56" s="3">
        <v>14</v>
      </c>
      <c r="B56" s="21">
        <v>2038</v>
      </c>
      <c r="C56" s="120">
        <f t="shared" si="15"/>
        <v>69</v>
      </c>
      <c r="D56" s="136">
        <f t="shared" si="21"/>
        <v>23</v>
      </c>
      <c r="E56" s="120">
        <v>36</v>
      </c>
      <c r="F56" s="120">
        <v>9</v>
      </c>
      <c r="G56" s="20">
        <v>6</v>
      </c>
      <c r="H56" s="20">
        <v>1</v>
      </c>
      <c r="I56" s="59">
        <v>38</v>
      </c>
      <c r="J56" s="59">
        <v>50</v>
      </c>
      <c r="K56" s="59">
        <f t="shared" si="16"/>
        <v>566352</v>
      </c>
      <c r="L56" s="68">
        <f t="shared" si="17"/>
        <v>141588</v>
      </c>
      <c r="M56" s="68">
        <f t="shared" si="18"/>
        <v>124200</v>
      </c>
      <c r="N56" s="68">
        <f t="shared" si="19"/>
        <v>155250</v>
      </c>
      <c r="O56" s="68">
        <f t="shared" si="20"/>
        <v>987390</v>
      </c>
      <c r="P56" s="90">
        <f t="shared" si="11"/>
        <v>9375</v>
      </c>
      <c r="Q56" s="81">
        <v>4.2990000000000004</v>
      </c>
      <c r="R56" s="88">
        <f t="shared" si="12"/>
        <v>2780915.625</v>
      </c>
      <c r="S56" s="88">
        <f t="shared" si="13"/>
        <v>3768305.625</v>
      </c>
      <c r="T56" s="24">
        <f t="shared" si="14"/>
        <v>2491293.9464539606</v>
      </c>
    </row>
    <row r="57" spans="1:22" ht="15.5" x14ac:dyDescent="0.35">
      <c r="A57" s="3">
        <v>15</v>
      </c>
      <c r="B57" s="21">
        <v>2039</v>
      </c>
      <c r="C57" s="120">
        <f t="shared" si="15"/>
        <v>72</v>
      </c>
      <c r="D57" s="136">
        <f t="shared" si="21"/>
        <v>24</v>
      </c>
      <c r="E57" s="120">
        <v>36</v>
      </c>
      <c r="F57" s="120">
        <v>9</v>
      </c>
      <c r="G57" s="20">
        <v>6</v>
      </c>
      <c r="H57" s="20">
        <v>1</v>
      </c>
      <c r="I57" s="59">
        <v>38</v>
      </c>
      <c r="J57" s="59">
        <v>50</v>
      </c>
      <c r="K57" s="59">
        <f t="shared" si="16"/>
        <v>590976</v>
      </c>
      <c r="L57" s="68">
        <f t="shared" si="17"/>
        <v>147744</v>
      </c>
      <c r="M57" s="68">
        <f t="shared" si="18"/>
        <v>129600</v>
      </c>
      <c r="N57" s="68">
        <f t="shared" si="19"/>
        <v>162000</v>
      </c>
      <c r="O57" s="68">
        <f t="shared" si="20"/>
        <v>1030320</v>
      </c>
      <c r="P57" s="90">
        <f t="shared" si="11"/>
        <v>9375</v>
      </c>
      <c r="Q57" s="81">
        <v>4.2990000000000004</v>
      </c>
      <c r="R57" s="88">
        <f t="shared" si="12"/>
        <v>2901825</v>
      </c>
      <c r="S57" s="88">
        <f t="shared" si="13"/>
        <v>3932145</v>
      </c>
      <c r="T57" s="24">
        <f t="shared" si="14"/>
        <v>2523894.2471462665</v>
      </c>
    </row>
    <row r="58" spans="1:22" ht="15.5" x14ac:dyDescent="0.35">
      <c r="A58" s="3">
        <v>16</v>
      </c>
      <c r="B58" s="21">
        <v>2040</v>
      </c>
      <c r="C58" s="120">
        <f t="shared" si="15"/>
        <v>72</v>
      </c>
      <c r="D58" s="136">
        <v>24</v>
      </c>
      <c r="E58" s="120">
        <v>36</v>
      </c>
      <c r="F58" s="120">
        <v>9</v>
      </c>
      <c r="G58" s="20">
        <v>6</v>
      </c>
      <c r="H58" s="20">
        <v>1</v>
      </c>
      <c r="I58" s="59">
        <v>38</v>
      </c>
      <c r="J58" s="59">
        <v>50</v>
      </c>
      <c r="K58" s="59">
        <f t="shared" si="16"/>
        <v>590976</v>
      </c>
      <c r="L58" s="68">
        <f t="shared" si="17"/>
        <v>147744</v>
      </c>
      <c r="M58" s="68">
        <f t="shared" si="18"/>
        <v>129600</v>
      </c>
      <c r="N58" s="68">
        <f t="shared" si="19"/>
        <v>162000</v>
      </c>
      <c r="O58" s="68">
        <f t="shared" si="20"/>
        <v>1030320</v>
      </c>
      <c r="P58" s="90">
        <f t="shared" si="11"/>
        <v>9375</v>
      </c>
      <c r="Q58" s="81">
        <v>4.2990000000000004</v>
      </c>
      <c r="R58" s="88">
        <f t="shared" si="12"/>
        <v>2901825</v>
      </c>
      <c r="S58" s="88">
        <f t="shared" si="13"/>
        <v>3932145</v>
      </c>
      <c r="T58" s="24">
        <f t="shared" si="14"/>
        <v>2450382.7642196766</v>
      </c>
    </row>
    <row r="59" spans="1:22" ht="15.5" x14ac:dyDescent="0.35">
      <c r="A59" s="3">
        <v>17</v>
      </c>
      <c r="B59" s="21">
        <v>2041</v>
      </c>
      <c r="C59" s="120">
        <f t="shared" si="15"/>
        <v>75</v>
      </c>
      <c r="D59" s="146">
        <f>D58+1</f>
        <v>25</v>
      </c>
      <c r="E59" s="120">
        <v>36</v>
      </c>
      <c r="F59" s="120">
        <v>9</v>
      </c>
      <c r="G59" s="20">
        <v>6</v>
      </c>
      <c r="H59" s="20">
        <v>1</v>
      </c>
      <c r="I59" s="59">
        <v>38</v>
      </c>
      <c r="J59" s="59">
        <v>50</v>
      </c>
      <c r="K59" s="59">
        <f t="shared" si="16"/>
        <v>615600</v>
      </c>
      <c r="L59" s="68">
        <f t="shared" si="17"/>
        <v>153900</v>
      </c>
      <c r="M59" s="68">
        <f t="shared" si="18"/>
        <v>135000</v>
      </c>
      <c r="N59" s="68">
        <f t="shared" si="19"/>
        <v>168750</v>
      </c>
      <c r="O59" s="68">
        <f t="shared" si="20"/>
        <v>1073250</v>
      </c>
      <c r="P59" s="90">
        <f t="shared" si="11"/>
        <v>9375</v>
      </c>
      <c r="Q59" s="81">
        <v>4.2990000000000004</v>
      </c>
      <c r="R59" s="88">
        <f t="shared" si="12"/>
        <v>3022734.375</v>
      </c>
      <c r="S59" s="88">
        <f t="shared" si="13"/>
        <v>4095984.375</v>
      </c>
      <c r="T59" s="24">
        <f t="shared" si="14"/>
        <v>2478137.9087982168</v>
      </c>
    </row>
    <row r="60" spans="1:22" ht="15.5" x14ac:dyDescent="0.35">
      <c r="A60" s="3">
        <v>18</v>
      </c>
      <c r="B60" s="21">
        <v>2042</v>
      </c>
      <c r="C60" s="120">
        <f t="shared" si="15"/>
        <v>78</v>
      </c>
      <c r="D60" s="136">
        <f t="shared" si="21"/>
        <v>26</v>
      </c>
      <c r="E60" s="120">
        <v>36</v>
      </c>
      <c r="F60" s="120">
        <v>9</v>
      </c>
      <c r="G60" s="20">
        <v>6</v>
      </c>
      <c r="H60" s="20">
        <v>1</v>
      </c>
      <c r="I60" s="59">
        <v>38</v>
      </c>
      <c r="J60" s="59">
        <v>50</v>
      </c>
      <c r="K60" s="59">
        <f t="shared" si="16"/>
        <v>640224</v>
      </c>
      <c r="L60" s="68">
        <f t="shared" si="17"/>
        <v>160056</v>
      </c>
      <c r="M60" s="68">
        <f t="shared" si="18"/>
        <v>140400</v>
      </c>
      <c r="N60" s="68">
        <f t="shared" si="19"/>
        <v>175500</v>
      </c>
      <c r="O60" s="68">
        <f t="shared" si="20"/>
        <v>1116180</v>
      </c>
      <c r="P60" s="90">
        <f t="shared" si="11"/>
        <v>9375</v>
      </c>
      <c r="Q60" s="81">
        <v>4.2990000000000004</v>
      </c>
      <c r="R60" s="88">
        <f t="shared" si="12"/>
        <v>3143643.75</v>
      </c>
      <c r="S60" s="88">
        <f t="shared" si="13"/>
        <v>4259823.75</v>
      </c>
      <c r="T60" s="24">
        <f t="shared" si="14"/>
        <v>2502197.500145772</v>
      </c>
    </row>
    <row r="61" spans="1:22" ht="15.5" x14ac:dyDescent="0.35">
      <c r="A61" s="3">
        <v>19</v>
      </c>
      <c r="B61" s="21">
        <v>2043</v>
      </c>
      <c r="C61" s="120">
        <f t="shared" si="15"/>
        <v>81</v>
      </c>
      <c r="D61" s="136">
        <f t="shared" si="21"/>
        <v>27</v>
      </c>
      <c r="E61" s="120">
        <v>36</v>
      </c>
      <c r="F61" s="120">
        <v>9</v>
      </c>
      <c r="G61" s="20">
        <v>6</v>
      </c>
      <c r="H61" s="20">
        <v>1</v>
      </c>
      <c r="I61" s="59">
        <v>38</v>
      </c>
      <c r="J61" s="59">
        <v>50</v>
      </c>
      <c r="K61" s="59">
        <f t="shared" si="16"/>
        <v>664848</v>
      </c>
      <c r="L61" s="68">
        <f t="shared" si="17"/>
        <v>166212</v>
      </c>
      <c r="M61" s="68">
        <f t="shared" si="18"/>
        <v>145800</v>
      </c>
      <c r="N61" s="68">
        <f t="shared" si="19"/>
        <v>182250</v>
      </c>
      <c r="O61" s="68">
        <f t="shared" si="20"/>
        <v>1159110</v>
      </c>
      <c r="P61" s="90">
        <f t="shared" si="11"/>
        <v>9375</v>
      </c>
      <c r="Q61" s="81">
        <v>4.2990000000000004</v>
      </c>
      <c r="R61" s="88">
        <f t="shared" ref="R61:R67" si="22">(P61*Q61)*C61</f>
        <v>3264553.125</v>
      </c>
      <c r="S61" s="88">
        <f t="shared" si="13"/>
        <v>4423663.125</v>
      </c>
      <c r="T61" s="24">
        <f t="shared" ref="T61:T67" si="23">S61/(1+0.03)^A61</f>
        <v>2522753.267510674</v>
      </c>
    </row>
    <row r="62" spans="1:22" ht="15.5" x14ac:dyDescent="0.35">
      <c r="A62" s="57">
        <v>20</v>
      </c>
      <c r="B62" s="21">
        <v>2044</v>
      </c>
      <c r="C62" s="120">
        <f t="shared" si="15"/>
        <v>84</v>
      </c>
      <c r="D62" s="136">
        <f t="shared" si="21"/>
        <v>28</v>
      </c>
      <c r="E62" s="120">
        <v>36</v>
      </c>
      <c r="F62" s="120">
        <v>9</v>
      </c>
      <c r="G62" s="20">
        <v>6</v>
      </c>
      <c r="H62" s="20">
        <v>1</v>
      </c>
      <c r="I62" s="59">
        <v>38</v>
      </c>
      <c r="J62" s="59">
        <v>50</v>
      </c>
      <c r="K62" s="59">
        <f t="shared" si="16"/>
        <v>689472</v>
      </c>
      <c r="L62" s="68">
        <f t="shared" si="17"/>
        <v>172368</v>
      </c>
      <c r="M62" s="68">
        <f t="shared" si="18"/>
        <v>151200</v>
      </c>
      <c r="N62" s="68">
        <f t="shared" si="19"/>
        <v>189000</v>
      </c>
      <c r="O62" s="68">
        <f t="shared" si="20"/>
        <v>1202040</v>
      </c>
      <c r="P62" s="90">
        <f t="shared" si="11"/>
        <v>9375</v>
      </c>
      <c r="Q62" s="81">
        <v>4.2990000000000004</v>
      </c>
      <c r="R62" s="88">
        <f t="shared" si="22"/>
        <v>3385462.5</v>
      </c>
      <c r="S62" s="88">
        <f t="shared" si="13"/>
        <v>4587502.5</v>
      </c>
      <c r="T62" s="24">
        <f t="shared" si="23"/>
        <v>2539988.9065191969</v>
      </c>
    </row>
    <row r="63" spans="1:22" ht="15.5" x14ac:dyDescent="0.35">
      <c r="A63" s="57">
        <v>21</v>
      </c>
      <c r="B63" s="21">
        <v>2045</v>
      </c>
      <c r="C63" s="120">
        <f t="shared" si="15"/>
        <v>87</v>
      </c>
      <c r="D63" s="136">
        <f t="shared" si="21"/>
        <v>29</v>
      </c>
      <c r="E63" s="120">
        <v>36</v>
      </c>
      <c r="F63" s="120">
        <v>9</v>
      </c>
      <c r="G63" s="20">
        <v>6</v>
      </c>
      <c r="H63" s="20">
        <v>1</v>
      </c>
      <c r="I63" s="59">
        <v>38</v>
      </c>
      <c r="J63" s="59">
        <v>50</v>
      </c>
      <c r="K63" s="59">
        <f t="shared" si="16"/>
        <v>714096</v>
      </c>
      <c r="L63" s="68">
        <f t="shared" si="17"/>
        <v>178524</v>
      </c>
      <c r="M63" s="68">
        <f t="shared" si="18"/>
        <v>156600</v>
      </c>
      <c r="N63" s="68">
        <f t="shared" si="19"/>
        <v>195750</v>
      </c>
      <c r="O63" s="68">
        <f t="shared" si="20"/>
        <v>1244970</v>
      </c>
      <c r="P63" s="90">
        <f t="shared" si="11"/>
        <v>9375</v>
      </c>
      <c r="Q63" s="81">
        <v>4.2990000000000004</v>
      </c>
      <c r="R63" s="88">
        <f t="shared" si="22"/>
        <v>3506371.875</v>
      </c>
      <c r="S63" s="88">
        <f t="shared" si="13"/>
        <v>4751341.875</v>
      </c>
      <c r="T63" s="24">
        <f t="shared" si="23"/>
        <v>2554080.3845026605</v>
      </c>
    </row>
    <row r="64" spans="1:22" ht="15.5" x14ac:dyDescent="0.35">
      <c r="A64" s="57">
        <v>22</v>
      </c>
      <c r="B64" s="21">
        <v>2046</v>
      </c>
      <c r="C64" s="120">
        <f t="shared" si="15"/>
        <v>90</v>
      </c>
      <c r="D64" s="136">
        <f t="shared" si="21"/>
        <v>30</v>
      </c>
      <c r="E64" s="120">
        <v>36</v>
      </c>
      <c r="F64" s="120">
        <v>9</v>
      </c>
      <c r="G64" s="20">
        <v>6</v>
      </c>
      <c r="H64" s="20">
        <v>1</v>
      </c>
      <c r="I64" s="59">
        <v>38</v>
      </c>
      <c r="J64" s="59">
        <v>50</v>
      </c>
      <c r="K64" s="59">
        <f t="shared" si="16"/>
        <v>738720</v>
      </c>
      <c r="L64" s="68">
        <f t="shared" si="17"/>
        <v>184680</v>
      </c>
      <c r="M64" s="68">
        <f t="shared" si="18"/>
        <v>162000</v>
      </c>
      <c r="N64" s="68">
        <f t="shared" si="19"/>
        <v>202500</v>
      </c>
      <c r="O64" s="68">
        <f t="shared" si="20"/>
        <v>1287900</v>
      </c>
      <c r="P64" s="90">
        <f t="shared" si="11"/>
        <v>9375</v>
      </c>
      <c r="Q64" s="81">
        <v>4.2990000000000004</v>
      </c>
      <c r="R64" s="88">
        <f t="shared" si="22"/>
        <v>3627281.25</v>
      </c>
      <c r="S64" s="88">
        <f t="shared" si="13"/>
        <v>4915181.25</v>
      </c>
      <c r="T64" s="24">
        <f t="shared" si="23"/>
        <v>2565196.2348536928</v>
      </c>
    </row>
    <row r="65" spans="1:20" ht="15.5" x14ac:dyDescent="0.35">
      <c r="A65" s="57">
        <v>23</v>
      </c>
      <c r="B65" s="21">
        <v>2047</v>
      </c>
      <c r="C65" s="120">
        <f t="shared" si="15"/>
        <v>90</v>
      </c>
      <c r="D65" s="136">
        <v>30</v>
      </c>
      <c r="E65" s="120">
        <v>36</v>
      </c>
      <c r="F65" s="120">
        <v>9</v>
      </c>
      <c r="G65" s="20">
        <v>6</v>
      </c>
      <c r="H65" s="20">
        <v>1</v>
      </c>
      <c r="I65" s="59">
        <v>38</v>
      </c>
      <c r="J65" s="59">
        <v>50</v>
      </c>
      <c r="K65" s="59">
        <f t="shared" si="16"/>
        <v>738720</v>
      </c>
      <c r="L65" s="68">
        <f t="shared" si="17"/>
        <v>184680</v>
      </c>
      <c r="M65" s="68">
        <f t="shared" si="18"/>
        <v>162000</v>
      </c>
      <c r="N65" s="68">
        <f t="shared" si="19"/>
        <v>202500</v>
      </c>
      <c r="O65" s="68">
        <f t="shared" si="20"/>
        <v>1287900</v>
      </c>
      <c r="P65" s="90">
        <f t="shared" si="11"/>
        <v>9375</v>
      </c>
      <c r="Q65" s="81">
        <v>4.2990000000000004</v>
      </c>
      <c r="R65" s="88">
        <f t="shared" si="22"/>
        <v>3627281.25</v>
      </c>
      <c r="S65" s="88">
        <f t="shared" si="13"/>
        <v>4915181.25</v>
      </c>
      <c r="T65" s="24">
        <f t="shared" si="23"/>
        <v>2490481.7814113521</v>
      </c>
    </row>
    <row r="66" spans="1:20" ht="15.5" x14ac:dyDescent="0.35">
      <c r="A66" s="57">
        <v>24</v>
      </c>
      <c r="B66" s="21">
        <v>2049</v>
      </c>
      <c r="C66" s="120">
        <f t="shared" si="15"/>
        <v>90</v>
      </c>
      <c r="D66" s="136">
        <v>30</v>
      </c>
      <c r="E66" s="120">
        <v>36</v>
      </c>
      <c r="F66" s="120">
        <v>9</v>
      </c>
      <c r="G66" s="20">
        <v>6</v>
      </c>
      <c r="H66" s="20">
        <v>1</v>
      </c>
      <c r="I66" s="59">
        <v>38</v>
      </c>
      <c r="J66" s="59">
        <v>50</v>
      </c>
      <c r="K66" s="59">
        <f t="shared" si="16"/>
        <v>738720</v>
      </c>
      <c r="L66" s="68">
        <f t="shared" si="17"/>
        <v>184680</v>
      </c>
      <c r="M66" s="68">
        <f t="shared" si="18"/>
        <v>162000</v>
      </c>
      <c r="N66" s="68">
        <f t="shared" si="19"/>
        <v>202500</v>
      </c>
      <c r="O66" s="68">
        <f t="shared" si="20"/>
        <v>1287900</v>
      </c>
      <c r="P66" s="90">
        <f t="shared" si="11"/>
        <v>9375</v>
      </c>
      <c r="Q66" s="81">
        <v>4.2990000000000004</v>
      </c>
      <c r="R66" s="88">
        <f t="shared" si="22"/>
        <v>3627281.25</v>
      </c>
      <c r="S66" s="88">
        <f t="shared" si="13"/>
        <v>4915181.25</v>
      </c>
      <c r="T66" s="24">
        <f t="shared" si="23"/>
        <v>2417943.4770984002</v>
      </c>
    </row>
    <row r="67" spans="1:20" ht="15.5" x14ac:dyDescent="0.35">
      <c r="A67" s="57">
        <v>25</v>
      </c>
      <c r="B67" s="21">
        <v>2050</v>
      </c>
      <c r="C67" s="120">
        <f t="shared" si="15"/>
        <v>90</v>
      </c>
      <c r="D67" s="136">
        <v>30</v>
      </c>
      <c r="E67" s="120">
        <v>36</v>
      </c>
      <c r="F67" s="120">
        <v>9</v>
      </c>
      <c r="G67" s="20">
        <v>6</v>
      </c>
      <c r="H67" s="20">
        <v>1</v>
      </c>
      <c r="I67" s="59">
        <v>38</v>
      </c>
      <c r="J67" s="59">
        <v>50</v>
      </c>
      <c r="K67" s="59">
        <f t="shared" si="16"/>
        <v>738720</v>
      </c>
      <c r="L67" s="68">
        <f t="shared" si="17"/>
        <v>184680</v>
      </c>
      <c r="M67" s="68">
        <f t="shared" si="18"/>
        <v>162000</v>
      </c>
      <c r="N67" s="68">
        <f t="shared" si="19"/>
        <v>202500</v>
      </c>
      <c r="O67" s="68">
        <f t="shared" si="20"/>
        <v>1287900</v>
      </c>
      <c r="P67" s="90">
        <f t="shared" si="11"/>
        <v>9375</v>
      </c>
      <c r="Q67" s="81">
        <v>4.2990000000000004</v>
      </c>
      <c r="R67" s="88">
        <f t="shared" si="22"/>
        <v>3627281.25</v>
      </c>
      <c r="S67" s="88">
        <f t="shared" si="13"/>
        <v>4915181.25</v>
      </c>
      <c r="T67" s="24">
        <f t="shared" si="23"/>
        <v>2347517.9389304859</v>
      </c>
    </row>
    <row r="68" spans="1:20" ht="15.5" x14ac:dyDescent="0.35">
      <c r="A68" s="57">
        <v>26</v>
      </c>
      <c r="B68" s="21">
        <v>2051</v>
      </c>
      <c r="C68" s="120"/>
      <c r="D68" s="120"/>
      <c r="E68" s="120"/>
      <c r="F68" s="120"/>
      <c r="G68" s="20"/>
      <c r="H68" s="20"/>
      <c r="I68" s="59"/>
      <c r="J68" s="65"/>
      <c r="K68" s="65"/>
      <c r="L68" s="65"/>
      <c r="M68" s="65"/>
      <c r="N68" s="65"/>
      <c r="O68" s="65"/>
      <c r="P68" s="74"/>
      <c r="Q68" s="81"/>
      <c r="R68" s="73"/>
      <c r="S68" s="73"/>
      <c r="T68" s="24"/>
    </row>
    <row r="69" spans="1:20" ht="15.5" x14ac:dyDescent="0.35">
      <c r="A69" s="57">
        <v>27</v>
      </c>
      <c r="B69" s="21">
        <v>2052</v>
      </c>
      <c r="C69" s="120"/>
      <c r="D69" s="120"/>
      <c r="E69" s="120"/>
      <c r="F69" s="120"/>
      <c r="G69" s="20"/>
      <c r="H69" s="20"/>
      <c r="I69" s="59"/>
      <c r="J69" s="65"/>
      <c r="K69" s="65"/>
      <c r="L69" s="65"/>
      <c r="M69" s="65"/>
      <c r="N69" s="65"/>
      <c r="O69" s="65"/>
      <c r="P69" s="74"/>
      <c r="Q69" s="81"/>
      <c r="R69" s="73"/>
      <c r="S69" s="73"/>
      <c r="T69" s="24"/>
    </row>
    <row r="70" spans="1:20" ht="15.5" x14ac:dyDescent="0.35">
      <c r="A70" s="57">
        <v>28</v>
      </c>
      <c r="B70" s="21">
        <v>2053</v>
      </c>
      <c r="C70" s="120"/>
      <c r="D70" s="120"/>
      <c r="E70" s="120"/>
      <c r="F70" s="120"/>
      <c r="G70" s="20"/>
      <c r="H70" s="20"/>
      <c r="I70" s="59"/>
      <c r="J70" s="65"/>
      <c r="K70" s="65"/>
      <c r="L70" s="65"/>
      <c r="M70" s="65"/>
      <c r="N70" s="65"/>
      <c r="O70" s="65"/>
      <c r="P70" s="74"/>
      <c r="Q70" s="81"/>
      <c r="R70" s="73"/>
      <c r="S70" s="73"/>
      <c r="T70" s="24"/>
    </row>
    <row r="71" spans="1:20" ht="15.5" x14ac:dyDescent="0.35">
      <c r="A71" s="57">
        <v>29</v>
      </c>
      <c r="B71" s="21">
        <v>2054</v>
      </c>
      <c r="C71" s="120"/>
      <c r="D71" s="120"/>
      <c r="E71" s="120"/>
      <c r="F71" s="120"/>
      <c r="G71" s="20"/>
      <c r="H71" s="20"/>
      <c r="I71" s="59"/>
      <c r="J71" s="65"/>
      <c r="K71" s="65"/>
      <c r="L71" s="65"/>
      <c r="M71" s="65"/>
      <c r="N71" s="65"/>
      <c r="O71" s="65"/>
      <c r="P71" s="74"/>
      <c r="Q71" s="81"/>
      <c r="R71" s="73"/>
      <c r="S71" s="73"/>
      <c r="T71" s="24"/>
    </row>
    <row r="72" spans="1:20" ht="15.5" x14ac:dyDescent="0.35">
      <c r="A72" s="4">
        <v>30</v>
      </c>
      <c r="B72" s="21">
        <v>2055</v>
      </c>
      <c r="C72" s="120"/>
      <c r="D72" s="120"/>
      <c r="E72" s="120"/>
      <c r="F72" s="120"/>
      <c r="G72" s="20"/>
      <c r="H72" s="20"/>
      <c r="I72" s="59"/>
      <c r="J72" s="65"/>
      <c r="K72" s="65"/>
      <c r="L72" s="65"/>
      <c r="M72" s="65"/>
      <c r="N72" s="65"/>
      <c r="O72" s="65"/>
      <c r="P72" s="74"/>
      <c r="Q72" s="81"/>
      <c r="R72" s="73"/>
      <c r="S72" s="73"/>
      <c r="T72" s="24"/>
    </row>
    <row r="73" spans="1:20" x14ac:dyDescent="0.3">
      <c r="A73" s="26" t="s">
        <v>13</v>
      </c>
      <c r="B73" s="26"/>
      <c r="C73" s="26"/>
      <c r="D73" s="26"/>
      <c r="E73" s="26"/>
      <c r="F73" s="26"/>
      <c r="G73" s="27"/>
      <c r="H73" s="27"/>
      <c r="I73" s="60"/>
      <c r="J73" s="66"/>
      <c r="K73" s="66"/>
      <c r="L73" s="66"/>
      <c r="M73" s="66"/>
      <c r="N73" s="66"/>
      <c r="O73" s="66"/>
      <c r="P73" s="75"/>
      <c r="Q73" s="82"/>
      <c r="R73" s="27"/>
      <c r="S73" s="27"/>
      <c r="T73" s="28">
        <f>SUM(T47:T72)</f>
        <v>48015851.08173687</v>
      </c>
    </row>
    <row r="74" spans="1:20" x14ac:dyDescent="0.3">
      <c r="T74" s="89">
        <f>T34-T73</f>
        <v>175178829.37771004</v>
      </c>
    </row>
  </sheetData>
  <mergeCells count="4">
    <mergeCell ref="A1:T1"/>
    <mergeCell ref="A2:T2"/>
    <mergeCell ref="A40:T40"/>
    <mergeCell ref="A41:T4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F07AD-949A-4439-A3B3-095246EB9BBB}">
  <dimension ref="A1:X77"/>
  <sheetViews>
    <sheetView tabSelected="1" zoomScale="58" zoomScaleNormal="60" workbookViewId="0">
      <selection activeCell="A2" sqref="A2:T2"/>
    </sheetView>
  </sheetViews>
  <sheetFormatPr defaultRowHeight="15" x14ac:dyDescent="0.3"/>
  <cols>
    <col min="1" max="9" width="9.1328125" bestFit="1" customWidth="1"/>
    <col min="10" max="10" width="12.73046875" customWidth="1"/>
    <col min="11" max="11" width="12.53125" customWidth="1"/>
    <col min="12" max="13" width="9.1328125" bestFit="1" customWidth="1"/>
    <col min="14" max="14" width="12.46484375" customWidth="1"/>
    <col min="15" max="16" width="9.1328125" style="86" bestFit="1" customWidth="1"/>
    <col min="17" max="17" width="12.796875" customWidth="1"/>
    <col min="18" max="18" width="16.19921875" customWidth="1"/>
    <col min="19" max="19" width="12.265625" customWidth="1"/>
    <col min="20" max="20" width="16.73046875" customWidth="1"/>
    <col min="21" max="21" width="16.3984375" bestFit="1" customWidth="1"/>
    <col min="22" max="22" width="19.86328125" customWidth="1"/>
    <col min="23" max="23" width="20.6640625" customWidth="1"/>
    <col min="24" max="24" width="16.3984375" bestFit="1" customWidth="1"/>
  </cols>
  <sheetData>
    <row r="1" spans="1:20" ht="17.5" customHeight="1" x14ac:dyDescent="0.3">
      <c r="A1" s="206" t="s">
        <v>22</v>
      </c>
      <c r="B1" s="207"/>
      <c r="C1" s="207"/>
      <c r="D1" s="207"/>
      <c r="E1" s="207"/>
      <c r="F1" s="207"/>
      <c r="G1" s="207"/>
      <c r="H1" s="207"/>
      <c r="I1" s="207"/>
      <c r="J1" s="207"/>
      <c r="K1" s="207"/>
      <c r="L1" s="207"/>
      <c r="M1" s="207"/>
      <c r="N1" s="207"/>
      <c r="O1" s="207"/>
      <c r="P1" s="207"/>
      <c r="Q1" s="207"/>
      <c r="R1" s="207"/>
      <c r="S1" s="207"/>
      <c r="T1" s="207"/>
    </row>
    <row r="2" spans="1:20" ht="17.5" customHeight="1" x14ac:dyDescent="0.3">
      <c r="A2" s="208" t="s">
        <v>127</v>
      </c>
      <c r="B2" s="209"/>
      <c r="C2" s="209"/>
      <c r="D2" s="209"/>
      <c r="E2" s="209"/>
      <c r="F2" s="209"/>
      <c r="G2" s="209"/>
      <c r="H2" s="209"/>
      <c r="I2" s="209"/>
      <c r="J2" s="209"/>
      <c r="K2" s="209"/>
      <c r="L2" s="209"/>
      <c r="M2" s="209"/>
      <c r="N2" s="209"/>
      <c r="O2" s="209"/>
      <c r="P2" s="209"/>
      <c r="Q2" s="209"/>
      <c r="R2" s="209"/>
      <c r="S2" s="209"/>
      <c r="T2" s="209"/>
    </row>
    <row r="3" spans="1:20" ht="99" thickBot="1" x14ac:dyDescent="0.4">
      <c r="A3" s="18" t="s">
        <v>7</v>
      </c>
      <c r="B3" s="18" t="s">
        <v>8</v>
      </c>
      <c r="C3" s="18" t="s">
        <v>61</v>
      </c>
      <c r="D3" s="18" t="s">
        <v>62</v>
      </c>
      <c r="E3" s="18" t="s">
        <v>63</v>
      </c>
      <c r="F3" s="18" t="s">
        <v>122</v>
      </c>
      <c r="G3" s="18" t="s">
        <v>72</v>
      </c>
      <c r="H3" s="18" t="s">
        <v>73</v>
      </c>
      <c r="I3" s="72" t="s">
        <v>28</v>
      </c>
      <c r="J3" s="69" t="s">
        <v>118</v>
      </c>
      <c r="K3" s="69" t="s">
        <v>32</v>
      </c>
      <c r="L3" s="18" t="s">
        <v>74</v>
      </c>
      <c r="M3" s="62" t="s">
        <v>23</v>
      </c>
      <c r="N3" s="69" t="s">
        <v>34</v>
      </c>
      <c r="O3" s="18" t="s">
        <v>75</v>
      </c>
      <c r="P3" s="62" t="s">
        <v>76</v>
      </c>
      <c r="Q3" s="69" t="s">
        <v>77</v>
      </c>
      <c r="R3" s="19" t="s">
        <v>17</v>
      </c>
      <c r="S3" s="19" t="s">
        <v>19</v>
      </c>
      <c r="T3" s="43" t="s">
        <v>18</v>
      </c>
    </row>
    <row r="4" spans="1:20" ht="15.5" x14ac:dyDescent="0.35">
      <c r="A4" s="1">
        <v>1</v>
      </c>
      <c r="B4" s="21">
        <v>2025</v>
      </c>
      <c r="C4" s="123"/>
      <c r="D4" s="123"/>
      <c r="E4" s="123"/>
      <c r="F4" s="123"/>
      <c r="G4" s="123"/>
      <c r="H4" s="73"/>
      <c r="I4" s="68"/>
      <c r="J4" s="68"/>
      <c r="K4" s="68"/>
      <c r="L4" s="74"/>
      <c r="M4" s="22"/>
      <c r="N4" s="22"/>
      <c r="O4" s="20"/>
      <c r="P4" s="20"/>
      <c r="Q4" s="22"/>
      <c r="R4" s="25"/>
      <c r="S4" s="23"/>
      <c r="T4" s="44"/>
    </row>
    <row r="5" spans="1:20" ht="15.5" x14ac:dyDescent="0.35">
      <c r="A5" s="3">
        <v>2</v>
      </c>
      <c r="B5" s="21">
        <v>2026</v>
      </c>
      <c r="C5" s="123"/>
      <c r="D5" s="123"/>
      <c r="E5" s="123"/>
      <c r="F5" s="123"/>
      <c r="G5" s="123"/>
      <c r="H5" s="73"/>
      <c r="I5" s="68"/>
      <c r="J5" s="68"/>
      <c r="K5" s="68"/>
      <c r="L5" s="74"/>
      <c r="M5" s="24"/>
      <c r="N5" s="32"/>
      <c r="O5" s="118"/>
      <c r="P5" s="118"/>
      <c r="Q5" s="22"/>
      <c r="R5" s="25"/>
      <c r="S5" s="23"/>
      <c r="T5" s="44"/>
    </row>
    <row r="6" spans="1:20" ht="15.5" x14ac:dyDescent="0.35">
      <c r="A6" s="3">
        <v>3</v>
      </c>
      <c r="B6" s="21">
        <v>2027</v>
      </c>
      <c r="C6" s="120"/>
      <c r="D6" s="120"/>
      <c r="E6" s="120"/>
      <c r="F6" s="120"/>
      <c r="G6" s="120"/>
      <c r="H6" s="73"/>
      <c r="I6" s="68"/>
      <c r="J6" s="68"/>
      <c r="K6" s="68"/>
      <c r="L6" s="74"/>
      <c r="M6" s="24"/>
      <c r="N6" s="32"/>
      <c r="O6" s="118"/>
      <c r="P6" s="118"/>
      <c r="Q6" s="24"/>
      <c r="R6" s="25"/>
      <c r="S6" s="24"/>
      <c r="T6" s="45"/>
    </row>
    <row r="7" spans="1:20" ht="15.5" x14ac:dyDescent="0.35">
      <c r="A7" s="3">
        <v>4</v>
      </c>
      <c r="B7" s="21">
        <v>2028</v>
      </c>
      <c r="C7" s="120"/>
      <c r="D7" s="120"/>
      <c r="E7" s="120"/>
      <c r="F7" s="120"/>
      <c r="G7" s="120"/>
      <c r="H7" s="73"/>
      <c r="I7" s="68"/>
      <c r="J7" s="68"/>
      <c r="K7" s="68"/>
      <c r="L7" s="74"/>
      <c r="M7" s="24"/>
      <c r="N7" s="32"/>
      <c r="O7" s="118"/>
      <c r="P7" s="118"/>
      <c r="Q7" s="24"/>
      <c r="R7" s="25"/>
      <c r="S7" s="24"/>
      <c r="T7" s="45"/>
    </row>
    <row r="8" spans="1:20" ht="15.5" x14ac:dyDescent="0.35">
      <c r="A8" s="121">
        <v>5</v>
      </c>
      <c r="B8" s="122">
        <v>2029</v>
      </c>
      <c r="C8" s="120"/>
      <c r="D8" s="120"/>
      <c r="E8" s="120"/>
      <c r="F8" s="120"/>
      <c r="G8" s="120"/>
      <c r="H8" s="73"/>
      <c r="I8" s="68"/>
      <c r="J8" s="68"/>
      <c r="K8" s="68"/>
      <c r="L8" s="74"/>
      <c r="M8" s="24"/>
      <c r="N8" s="24"/>
      <c r="O8" s="118"/>
      <c r="P8" s="118"/>
      <c r="Q8" s="24"/>
      <c r="R8" s="25"/>
      <c r="S8" s="24"/>
      <c r="T8" s="45"/>
    </row>
    <row r="9" spans="1:20" x14ac:dyDescent="0.3">
      <c r="A9" s="126">
        <v>6</v>
      </c>
      <c r="B9" s="127">
        <v>2030</v>
      </c>
      <c r="C9" s="95">
        <v>15</v>
      </c>
      <c r="D9" s="95">
        <v>15</v>
      </c>
      <c r="E9" s="95">
        <f>D9*C9</f>
        <v>225</v>
      </c>
      <c r="F9" s="95">
        <f>E9</f>
        <v>225</v>
      </c>
      <c r="G9" s="95">
        <f>F9*0.5*8760/1000</f>
        <v>985.5</v>
      </c>
      <c r="H9" s="117">
        <f>'MT Per GW Emissions'!H11</f>
        <v>245.16696754996326</v>
      </c>
      <c r="I9" s="68">
        <v>257</v>
      </c>
      <c r="J9" s="68">
        <f t="shared" ref="J9:J28" si="0">G9*H9*I9</f>
        <v>62094295.95576562</v>
      </c>
      <c r="K9" s="68">
        <f t="shared" ref="K9:K28" si="1">J9/(1+0.02)^A9</f>
        <v>55137957.805719666</v>
      </c>
      <c r="L9" s="74">
        <f>'MT Per GW Emissions'!J11</f>
        <v>0.14016020901561269</v>
      </c>
      <c r="M9" s="24">
        <v>21700</v>
      </c>
      <c r="N9" s="24">
        <f t="shared" ref="N9:N33" si="2">G9*L9*M9</f>
        <v>2997375.1258720327</v>
      </c>
      <c r="O9" s="118">
        <f>'MT Per GW Emissions'!I11</f>
        <v>5.5338334951148045E-2</v>
      </c>
      <c r="P9" s="119">
        <v>61500</v>
      </c>
      <c r="Q9" s="24">
        <f>G9*O9*P9</f>
        <v>3353959.6393029187</v>
      </c>
      <c r="R9" s="25">
        <f>N9+Q9</f>
        <v>6351334.7651749514</v>
      </c>
      <c r="S9" s="24">
        <f t="shared" ref="S9:S28" si="3">R9/(1+0.03)^A9</f>
        <v>5319142.8747615973</v>
      </c>
      <c r="T9" s="45">
        <f t="shared" ref="T9:T21" si="4">K9+S9</f>
        <v>60457100.680481263</v>
      </c>
    </row>
    <row r="10" spans="1:20" ht="15.5" x14ac:dyDescent="0.35">
      <c r="A10" s="3">
        <v>7</v>
      </c>
      <c r="B10" s="21">
        <v>2031</v>
      </c>
      <c r="C10" s="95">
        <f>C9+1</f>
        <v>16</v>
      </c>
      <c r="D10" s="95">
        <v>15</v>
      </c>
      <c r="E10" s="95">
        <f t="shared" ref="E10:E33" si="5">D10*C10</f>
        <v>240</v>
      </c>
      <c r="F10" s="95">
        <f>F9+E10</f>
        <v>465</v>
      </c>
      <c r="G10" s="95">
        <f t="shared" ref="G10:G33" si="6">F10*0.5*8760/1000</f>
        <v>2036.7</v>
      </c>
      <c r="H10" s="117">
        <f>'MT Per GW Emissions'!H12</f>
        <v>245.16696754996326</v>
      </c>
      <c r="I10" s="68">
        <v>262</v>
      </c>
      <c r="J10" s="68">
        <f t="shared" si="0"/>
        <v>130824869.45596068</v>
      </c>
      <c r="K10" s="68">
        <f t="shared" si="1"/>
        <v>113890921.72072309</v>
      </c>
      <c r="L10" s="74">
        <f>'MT Per GW Emissions'!J12</f>
        <v>0.14016020901561269</v>
      </c>
      <c r="M10" s="24">
        <v>22000</v>
      </c>
      <c r="N10" s="24">
        <f t="shared" si="2"/>
        <v>6280214.5494461637</v>
      </c>
      <c r="O10" s="118">
        <f>'MT Per GW Emissions'!I12</f>
        <v>5.5338334951148045E-2</v>
      </c>
      <c r="P10" s="119">
        <v>61500</v>
      </c>
      <c r="Q10" s="24">
        <f>G10*O10*P10</f>
        <v>6931516.5878926981</v>
      </c>
      <c r="R10" s="25">
        <f t="shared" ref="R10:R33" si="7">N10+Q10</f>
        <v>13211731.137338862</v>
      </c>
      <c r="S10" s="24">
        <f t="shared" si="3"/>
        <v>10742346.437920902</v>
      </c>
      <c r="T10" s="45">
        <f t="shared" si="4"/>
        <v>124633268.15864399</v>
      </c>
    </row>
    <row r="11" spans="1:20" ht="15.5" x14ac:dyDescent="0.35">
      <c r="A11" s="3">
        <v>8</v>
      </c>
      <c r="B11" s="21">
        <v>2032</v>
      </c>
      <c r="C11" s="95">
        <f t="shared" ref="C11:C25" si="8">C10+1</f>
        <v>17</v>
      </c>
      <c r="D11" s="95">
        <v>15</v>
      </c>
      <c r="E11" s="95">
        <f t="shared" si="5"/>
        <v>255</v>
      </c>
      <c r="F11" s="95">
        <f t="shared" ref="F11:F25" si="9">F10+E11</f>
        <v>720</v>
      </c>
      <c r="G11" s="95">
        <f t="shared" si="6"/>
        <v>3153.6</v>
      </c>
      <c r="H11" s="117">
        <f>'MT Per GW Emissions'!H13</f>
        <v>245.16696754996326</v>
      </c>
      <c r="I11" s="68">
        <v>265</v>
      </c>
      <c r="J11" s="68">
        <f t="shared" si="0"/>
        <v>204887015.4493745</v>
      </c>
      <c r="K11" s="68">
        <f t="shared" si="1"/>
        <v>174869094.86792076</v>
      </c>
      <c r="L11" s="74">
        <f>'MT Per GW Emissions'!J13</f>
        <v>0.14016020901561269</v>
      </c>
      <c r="M11" s="24">
        <v>22000</v>
      </c>
      <c r="N11" s="24">
        <f t="shared" si="2"/>
        <v>9724203.1733359955</v>
      </c>
      <c r="O11" s="118">
        <f>'MT Per GW Emissions'!I13</f>
        <v>5.5338334951148045E-2</v>
      </c>
      <c r="P11" s="119">
        <v>61500</v>
      </c>
      <c r="Q11" s="24">
        <f>G11*O11*P11</f>
        <v>10732670.84576934</v>
      </c>
      <c r="R11" s="25">
        <f t="shared" si="7"/>
        <v>20456874.019105338</v>
      </c>
      <c r="S11" s="24">
        <f t="shared" si="3"/>
        <v>16148845.25587859</v>
      </c>
      <c r="T11" s="45">
        <f t="shared" si="4"/>
        <v>191017940.12379935</v>
      </c>
    </row>
    <row r="12" spans="1:20" ht="15.5" x14ac:dyDescent="0.35">
      <c r="A12" s="3">
        <v>9</v>
      </c>
      <c r="B12" s="21">
        <v>2033</v>
      </c>
      <c r="C12" s="95">
        <f t="shared" si="8"/>
        <v>18</v>
      </c>
      <c r="D12" s="95">
        <v>15</v>
      </c>
      <c r="E12" s="95">
        <f t="shared" si="5"/>
        <v>270</v>
      </c>
      <c r="F12" s="94">
        <f t="shared" si="9"/>
        <v>990</v>
      </c>
      <c r="G12" s="95">
        <f t="shared" si="6"/>
        <v>4336.2</v>
      </c>
      <c r="H12" s="117">
        <f>'MT Per GW Emissions'!H14</f>
        <v>245.16696754996326</v>
      </c>
      <c r="I12" s="68">
        <v>270</v>
      </c>
      <c r="J12" s="68">
        <f t="shared" si="0"/>
        <v>287035111.26634067</v>
      </c>
      <c r="K12" s="68">
        <f t="shared" si="1"/>
        <v>240178140.842455</v>
      </c>
      <c r="L12" s="74">
        <f>'MT Per GW Emissions'!J14</f>
        <v>0.14016020901561269</v>
      </c>
      <c r="M12" s="24">
        <v>22000</v>
      </c>
      <c r="N12" s="24">
        <f t="shared" si="2"/>
        <v>13370779.363336992</v>
      </c>
      <c r="O12" s="118">
        <f>'MT Per GW Emissions'!I14</f>
        <v>5.5338334951148045E-2</v>
      </c>
      <c r="P12" s="119">
        <v>61500</v>
      </c>
      <c r="Q12" s="24">
        <f t="shared" ref="Q12:Q33" si="10">G12*O12*P12</f>
        <v>14757422.412932839</v>
      </c>
      <c r="R12" s="25">
        <f t="shared" si="7"/>
        <v>28128201.776269831</v>
      </c>
      <c r="S12" s="24">
        <f t="shared" si="3"/>
        <v>21557924.492070928</v>
      </c>
      <c r="T12" s="45">
        <f t="shared" si="4"/>
        <v>261736065.33452594</v>
      </c>
    </row>
    <row r="13" spans="1:20" ht="15.5" x14ac:dyDescent="0.35">
      <c r="A13" s="3">
        <v>10</v>
      </c>
      <c r="B13" s="21">
        <v>2034</v>
      </c>
      <c r="C13" s="95">
        <f t="shared" si="8"/>
        <v>19</v>
      </c>
      <c r="D13" s="95">
        <v>15</v>
      </c>
      <c r="E13" s="95">
        <f t="shared" si="5"/>
        <v>285</v>
      </c>
      <c r="F13" s="95">
        <f t="shared" si="9"/>
        <v>1275</v>
      </c>
      <c r="G13" s="95">
        <f t="shared" si="6"/>
        <v>5584.5</v>
      </c>
      <c r="H13" s="117">
        <f>'MT Per GW Emissions'!H15</f>
        <v>245.16696754996326</v>
      </c>
      <c r="I13" s="68">
        <v>274</v>
      </c>
      <c r="J13" s="68">
        <f t="shared" si="0"/>
        <v>375142970.89747888</v>
      </c>
      <c r="K13" s="68">
        <f t="shared" si="1"/>
        <v>307747898.38586164</v>
      </c>
      <c r="L13" s="74">
        <f>'MT Per GW Emissions'!J15</f>
        <v>0.14016020901561269</v>
      </c>
      <c r="M13" s="24">
        <v>22000</v>
      </c>
      <c r="N13" s="24">
        <f t="shared" si="2"/>
        <v>17219943.119449161</v>
      </c>
      <c r="O13" s="118">
        <f>'MT Per GW Emissions'!I15</f>
        <v>5.5338334951148045E-2</v>
      </c>
      <c r="P13" s="119">
        <v>61500</v>
      </c>
      <c r="Q13" s="24">
        <f t="shared" si="10"/>
        <v>19005771.289383203</v>
      </c>
      <c r="R13" s="25">
        <f t="shared" si="7"/>
        <v>36225714.408832364</v>
      </c>
      <c r="S13" s="24">
        <f t="shared" si="3"/>
        <v>26955333.65439878</v>
      </c>
      <c r="T13" s="45">
        <f t="shared" si="4"/>
        <v>334703232.04026043</v>
      </c>
    </row>
    <row r="14" spans="1:20" ht="15.5" x14ac:dyDescent="0.35">
      <c r="A14" s="3">
        <v>11</v>
      </c>
      <c r="B14" s="21">
        <v>2035</v>
      </c>
      <c r="C14" s="95">
        <f t="shared" si="8"/>
        <v>20</v>
      </c>
      <c r="D14" s="95">
        <v>15</v>
      </c>
      <c r="E14" s="95">
        <f t="shared" si="5"/>
        <v>300</v>
      </c>
      <c r="F14" s="95">
        <f t="shared" si="9"/>
        <v>1575</v>
      </c>
      <c r="G14" s="95">
        <f t="shared" si="6"/>
        <v>6898.5</v>
      </c>
      <c r="H14" s="117">
        <f>'MT Per GW Emissions'!H16</f>
        <v>245.16696754996326</v>
      </c>
      <c r="I14" s="68">
        <v>278</v>
      </c>
      <c r="J14" s="68">
        <f t="shared" si="0"/>
        <v>470177042.52887124</v>
      </c>
      <c r="K14" s="68">
        <f t="shared" si="1"/>
        <v>378146017.1361649</v>
      </c>
      <c r="L14" s="74">
        <f>'MT Per GW Emissions'!J16</f>
        <v>0.14016020901561269</v>
      </c>
      <c r="M14" s="24">
        <v>22000</v>
      </c>
      <c r="N14" s="24">
        <f t="shared" si="2"/>
        <v>21271694.441672489</v>
      </c>
      <c r="O14" s="118">
        <f>'MT Per GW Emissions'!I16</f>
        <v>5.5338334951148045E-2</v>
      </c>
      <c r="P14" s="119">
        <v>61500</v>
      </c>
      <c r="Q14" s="24">
        <f t="shared" si="10"/>
        <v>23477717.475120429</v>
      </c>
      <c r="R14" s="25">
        <f t="shared" si="7"/>
        <v>44749411.916792914</v>
      </c>
      <c r="S14" s="24">
        <f t="shared" si="3"/>
        <v>32327927.283973403</v>
      </c>
      <c r="T14" s="45">
        <f t="shared" si="4"/>
        <v>410473944.4201383</v>
      </c>
    </row>
    <row r="15" spans="1:20" ht="15.5" x14ac:dyDescent="0.35">
      <c r="A15" s="3">
        <v>12</v>
      </c>
      <c r="B15" s="21">
        <v>2036</v>
      </c>
      <c r="C15" s="95">
        <f t="shared" si="8"/>
        <v>21</v>
      </c>
      <c r="D15" s="95">
        <v>15</v>
      </c>
      <c r="E15" s="97">
        <f t="shared" si="5"/>
        <v>315</v>
      </c>
      <c r="F15" s="95">
        <f t="shared" si="9"/>
        <v>1890</v>
      </c>
      <c r="G15" s="95">
        <f t="shared" si="6"/>
        <v>8278.2000000000007</v>
      </c>
      <c r="H15" s="117">
        <f>'MT Per GW Emissions'!H17</f>
        <v>245.16696754996326</v>
      </c>
      <c r="I15" s="68">
        <v>282</v>
      </c>
      <c r="J15" s="68">
        <f t="shared" si="0"/>
        <v>572330615.7977339</v>
      </c>
      <c r="K15" s="68">
        <f t="shared" si="1"/>
        <v>451278784.7329601</v>
      </c>
      <c r="L15" s="74">
        <f>'MT Per GW Emissions'!J17</f>
        <v>0.14016020901561269</v>
      </c>
      <c r="M15" s="24">
        <v>22000</v>
      </c>
      <c r="N15" s="24">
        <f t="shared" si="2"/>
        <v>25526033.330006991</v>
      </c>
      <c r="O15" s="118">
        <f>'MT Per GW Emissions'!I17</f>
        <v>5.5338334951148045E-2</v>
      </c>
      <c r="P15" s="119">
        <v>61500</v>
      </c>
      <c r="Q15" s="24">
        <f t="shared" si="10"/>
        <v>28173260.970144518</v>
      </c>
      <c r="R15" s="25">
        <f t="shared" si="7"/>
        <v>53699294.300151512</v>
      </c>
      <c r="S15" s="24">
        <f t="shared" si="3"/>
        <v>37663604.602687478</v>
      </c>
      <c r="T15" s="45">
        <f t="shared" si="4"/>
        <v>488942389.33564758</v>
      </c>
    </row>
    <row r="16" spans="1:20" ht="15.5" x14ac:dyDescent="0.35">
      <c r="A16" s="3">
        <v>13</v>
      </c>
      <c r="B16" s="21">
        <v>2037</v>
      </c>
      <c r="C16" s="95">
        <f t="shared" si="8"/>
        <v>22</v>
      </c>
      <c r="D16" s="95">
        <v>15</v>
      </c>
      <c r="E16" s="95">
        <f t="shared" si="5"/>
        <v>330</v>
      </c>
      <c r="F16" s="95">
        <f t="shared" si="9"/>
        <v>2220</v>
      </c>
      <c r="G16" s="95">
        <f t="shared" si="6"/>
        <v>9723.6</v>
      </c>
      <c r="H16" s="117">
        <f>'MT Per GW Emissions'!H18</f>
        <v>245.16696754996326</v>
      </c>
      <c r="I16" s="68">
        <v>287</v>
      </c>
      <c r="J16" s="68">
        <f t="shared" si="0"/>
        <v>684180885.86695206</v>
      </c>
      <c r="K16" s="68">
        <f t="shared" si="1"/>
        <v>528894077.8132391</v>
      </c>
      <c r="L16" s="74">
        <f>'MT Per GW Emissions'!J18</f>
        <v>0.14016020901561269</v>
      </c>
      <c r="M16" s="24">
        <v>22000</v>
      </c>
      <c r="N16" s="24">
        <f t="shared" si="2"/>
        <v>29982959.784452654</v>
      </c>
      <c r="O16" s="118">
        <f>'MT Per GW Emissions'!I18</f>
        <v>5.5338334951148045E-2</v>
      </c>
      <c r="P16" s="119">
        <v>61500</v>
      </c>
      <c r="Q16" s="24">
        <f t="shared" si="10"/>
        <v>33092401.774455462</v>
      </c>
      <c r="R16" s="25">
        <f t="shared" si="7"/>
        <v>63075361.55890812</v>
      </c>
      <c r="S16" s="24">
        <f t="shared" si="3"/>
        <v>42951251.97409267</v>
      </c>
      <c r="T16" s="45">
        <f t="shared" si="4"/>
        <v>571845329.78733182</v>
      </c>
    </row>
    <row r="17" spans="1:20" ht="15.5" x14ac:dyDescent="0.35">
      <c r="A17" s="3">
        <v>14</v>
      </c>
      <c r="B17" s="21">
        <v>2038</v>
      </c>
      <c r="C17" s="95">
        <f t="shared" si="8"/>
        <v>23</v>
      </c>
      <c r="D17" s="95">
        <v>15</v>
      </c>
      <c r="E17" s="95">
        <f t="shared" si="5"/>
        <v>345</v>
      </c>
      <c r="F17" s="94">
        <f t="shared" si="9"/>
        <v>2565</v>
      </c>
      <c r="G17" s="95">
        <f t="shared" si="6"/>
        <v>11234.7</v>
      </c>
      <c r="H17" s="117">
        <f>'MT Per GW Emissions'!H19</f>
        <v>245.16696754996326</v>
      </c>
      <c r="I17" s="68">
        <v>290</v>
      </c>
      <c r="J17" s="68">
        <f t="shared" si="0"/>
        <v>798769425.796736</v>
      </c>
      <c r="K17" s="68">
        <f t="shared" si="1"/>
        <v>605367398.21607518</v>
      </c>
      <c r="L17" s="74">
        <f>'MT Per GW Emissions'!J19</f>
        <v>0.14016020901561269</v>
      </c>
      <c r="M17" s="24">
        <v>22000</v>
      </c>
      <c r="N17" s="24">
        <f t="shared" si="2"/>
        <v>34642473.805009484</v>
      </c>
      <c r="O17" s="118">
        <f>'MT Per GW Emissions'!I19</f>
        <v>5.5338334951148045E-2</v>
      </c>
      <c r="P17" s="119">
        <v>61500</v>
      </c>
      <c r="Q17" s="24">
        <f t="shared" si="10"/>
        <v>38235139.888053276</v>
      </c>
      <c r="R17" s="25">
        <f t="shared" si="7"/>
        <v>72877613.693062752</v>
      </c>
      <c r="S17" s="24">
        <f t="shared" si="3"/>
        <v>48180688.058054611</v>
      </c>
      <c r="T17" s="45">
        <f t="shared" si="4"/>
        <v>653548086.27412975</v>
      </c>
    </row>
    <row r="18" spans="1:20" ht="15.5" x14ac:dyDescent="0.35">
      <c r="A18" s="3">
        <v>15</v>
      </c>
      <c r="B18" s="21">
        <v>2039</v>
      </c>
      <c r="C18" s="95">
        <f t="shared" si="8"/>
        <v>24</v>
      </c>
      <c r="D18" s="95">
        <v>15</v>
      </c>
      <c r="E18" s="95">
        <f t="shared" si="5"/>
        <v>360</v>
      </c>
      <c r="F18" s="95">
        <f t="shared" si="9"/>
        <v>2925</v>
      </c>
      <c r="G18" s="95">
        <f t="shared" si="6"/>
        <v>12811.5</v>
      </c>
      <c r="H18" s="117">
        <f>'MT Per GW Emissions'!H20</f>
        <v>245.16696754996326</v>
      </c>
      <c r="I18" s="68">
        <v>294</v>
      </c>
      <c r="J18" s="68">
        <f t="shared" si="0"/>
        <v>923441241.80130816</v>
      </c>
      <c r="K18" s="68">
        <f t="shared" si="1"/>
        <v>686130444.93726194</v>
      </c>
      <c r="L18" s="74">
        <f>'MT Per GW Emissions'!J20</f>
        <v>0.14016020901561269</v>
      </c>
      <c r="M18" s="24">
        <v>22000</v>
      </c>
      <c r="N18" s="24">
        <f t="shared" si="2"/>
        <v>39504575.391677484</v>
      </c>
      <c r="O18" s="118">
        <f>'MT Per GW Emissions'!I20</f>
        <v>5.5338334951148045E-2</v>
      </c>
      <c r="P18" s="119">
        <v>61500</v>
      </c>
      <c r="Q18" s="24">
        <f t="shared" si="10"/>
        <v>43601475.310937941</v>
      </c>
      <c r="R18" s="25">
        <f t="shared" si="7"/>
        <v>83106050.702615425</v>
      </c>
      <c r="S18" s="24">
        <f t="shared" si="3"/>
        <v>53342611.544431098</v>
      </c>
      <c r="T18" s="45">
        <f t="shared" si="4"/>
        <v>739473056.48169303</v>
      </c>
    </row>
    <row r="19" spans="1:20" ht="15.5" x14ac:dyDescent="0.35">
      <c r="A19" s="3">
        <v>16</v>
      </c>
      <c r="B19" s="21">
        <v>2040</v>
      </c>
      <c r="C19" s="95">
        <v>24</v>
      </c>
      <c r="D19" s="95">
        <v>20</v>
      </c>
      <c r="E19" s="97">
        <f t="shared" si="5"/>
        <v>480</v>
      </c>
      <c r="F19" s="95">
        <f t="shared" si="9"/>
        <v>3405</v>
      </c>
      <c r="G19" s="95">
        <f t="shared" si="6"/>
        <v>14913.9</v>
      </c>
      <c r="H19" s="117">
        <f>'MT Per GW Emissions'!H21</f>
        <v>245.16696754996326</v>
      </c>
      <c r="I19" s="68">
        <v>299</v>
      </c>
      <c r="J19" s="68">
        <f t="shared" si="0"/>
        <v>1093262295.5656757</v>
      </c>
      <c r="K19" s="68">
        <f t="shared" si="1"/>
        <v>796382342.49643052</v>
      </c>
      <c r="L19" s="74">
        <f>'MT Per GW Emissions'!J21</f>
        <v>0.14016020901561269</v>
      </c>
      <c r="M19" s="24">
        <v>22000</v>
      </c>
      <c r="N19" s="24">
        <f t="shared" si="2"/>
        <v>45987377.507234812</v>
      </c>
      <c r="O19" s="118">
        <f>'MT Per GW Emissions'!I21</f>
        <v>5.5338334951148045E-2</v>
      </c>
      <c r="P19" s="119">
        <v>61500</v>
      </c>
      <c r="Q19" s="24">
        <f t="shared" si="10"/>
        <v>50756589.2081175</v>
      </c>
      <c r="R19" s="25">
        <f t="shared" si="7"/>
        <v>96743966.715352312</v>
      </c>
      <c r="S19" s="24">
        <f t="shared" si="3"/>
        <v>60287641.626018718</v>
      </c>
      <c r="T19" s="45">
        <f t="shared" si="4"/>
        <v>856669984.12244928</v>
      </c>
    </row>
    <row r="20" spans="1:20" ht="15.5" x14ac:dyDescent="0.35">
      <c r="A20" s="3">
        <v>17</v>
      </c>
      <c r="B20" s="21">
        <v>2041</v>
      </c>
      <c r="C20" s="95">
        <f>C19+1</f>
        <v>25</v>
      </c>
      <c r="D20" s="95">
        <v>20</v>
      </c>
      <c r="E20" s="95">
        <f t="shared" si="5"/>
        <v>500</v>
      </c>
      <c r="F20" s="95">
        <f t="shared" si="9"/>
        <v>3905</v>
      </c>
      <c r="G20" s="95">
        <f t="shared" si="6"/>
        <v>17103.900000000001</v>
      </c>
      <c r="H20" s="117">
        <f>'MT Per GW Emissions'!H22</f>
        <v>245.16696754996326</v>
      </c>
      <c r="I20" s="68">
        <v>303</v>
      </c>
      <c r="J20" s="68">
        <f t="shared" si="0"/>
        <v>1270573322.7721784</v>
      </c>
      <c r="K20" s="68">
        <f t="shared" si="1"/>
        <v>907395899.99056673</v>
      </c>
      <c r="L20" s="74">
        <f>'MT Per GW Emissions'!J22</f>
        <v>0.14016020901561269</v>
      </c>
      <c r="M20" s="24">
        <v>22000</v>
      </c>
      <c r="N20" s="24">
        <f t="shared" si="2"/>
        <v>52740296.37760704</v>
      </c>
      <c r="O20" s="118">
        <f>'MT Per GW Emissions'!I22</f>
        <v>5.5338334951148045E-2</v>
      </c>
      <c r="P20" s="119">
        <v>61500</v>
      </c>
      <c r="Q20" s="24">
        <f t="shared" si="10"/>
        <v>58209832.851012878</v>
      </c>
      <c r="R20" s="25">
        <f t="shared" si="7"/>
        <v>110950129.22861992</v>
      </c>
      <c r="S20" s="24">
        <f t="shared" si="3"/>
        <v>67126652.851917699</v>
      </c>
      <c r="T20" s="45">
        <f t="shared" si="4"/>
        <v>974522552.84248447</v>
      </c>
    </row>
    <row r="21" spans="1:20" ht="15.5" x14ac:dyDescent="0.35">
      <c r="A21" s="3">
        <v>18</v>
      </c>
      <c r="B21" s="21">
        <v>2042</v>
      </c>
      <c r="C21" s="94">
        <f t="shared" si="8"/>
        <v>26</v>
      </c>
      <c r="D21" s="95">
        <v>20</v>
      </c>
      <c r="E21" s="95">
        <f t="shared" si="5"/>
        <v>520</v>
      </c>
      <c r="F21" s="95">
        <f t="shared" si="9"/>
        <v>4425</v>
      </c>
      <c r="G21" s="95">
        <f t="shared" si="6"/>
        <v>19381.5</v>
      </c>
      <c r="H21" s="117">
        <f>'MT Per GW Emissions'!H23</f>
        <v>245.16696754996326</v>
      </c>
      <c r="I21" s="68">
        <v>308</v>
      </c>
      <c r="J21" s="68">
        <f t="shared" si="0"/>
        <v>1463524703.1234407</v>
      </c>
      <c r="K21" s="68">
        <f t="shared" si="1"/>
        <v>1024700541.3856577</v>
      </c>
      <c r="L21" s="74">
        <f>'MT Per GW Emissions'!J23</f>
        <v>0.14016020901561269</v>
      </c>
      <c r="M21" s="24">
        <v>22000</v>
      </c>
      <c r="N21" s="24">
        <f t="shared" si="2"/>
        <v>59763332.002794139</v>
      </c>
      <c r="O21" s="118">
        <f>'MT Per GW Emissions'!I23</f>
        <v>5.5338334951148045E-2</v>
      </c>
      <c r="P21" s="119">
        <v>61500</v>
      </c>
      <c r="Q21" s="24">
        <f t="shared" si="10"/>
        <v>65961206.239624068</v>
      </c>
      <c r="R21" s="25">
        <f t="shared" si="7"/>
        <v>125724538.2424182</v>
      </c>
      <c r="S21" s="24">
        <f t="shared" si="3"/>
        <v>73849915.808643565</v>
      </c>
      <c r="T21" s="45">
        <f t="shared" si="4"/>
        <v>1098550457.1943011</v>
      </c>
    </row>
    <row r="22" spans="1:20" ht="15.5" x14ac:dyDescent="0.35">
      <c r="A22" s="3">
        <v>19</v>
      </c>
      <c r="B22" s="21">
        <v>2043</v>
      </c>
      <c r="C22" s="95">
        <f t="shared" si="8"/>
        <v>27</v>
      </c>
      <c r="D22" s="95">
        <v>20</v>
      </c>
      <c r="E22" s="95">
        <f t="shared" si="5"/>
        <v>540</v>
      </c>
      <c r="F22" s="95">
        <f t="shared" si="9"/>
        <v>4965</v>
      </c>
      <c r="G22" s="95">
        <f t="shared" si="6"/>
        <v>21746.7</v>
      </c>
      <c r="H22" s="117">
        <f>'MT Per GW Emissions'!H24</f>
        <v>245.16696754996326</v>
      </c>
      <c r="I22" s="68">
        <v>312</v>
      </c>
      <c r="J22" s="68">
        <f t="shared" si="0"/>
        <v>1663450617.8842614</v>
      </c>
      <c r="K22" s="68">
        <f t="shared" si="1"/>
        <v>1141843671.4745338</v>
      </c>
      <c r="L22" s="74">
        <f>'MT Per GW Emissions'!J24</f>
        <v>0.14016020901561269</v>
      </c>
      <c r="M22" s="24">
        <v>22000</v>
      </c>
      <c r="N22" s="24">
        <f t="shared" si="2"/>
        <v>67056484.382796139</v>
      </c>
      <c r="O22" s="118">
        <f>'MT Per GW Emissions'!I24</f>
        <v>5.5338334951148045E-2</v>
      </c>
      <c r="P22" s="119">
        <v>61500</v>
      </c>
      <c r="Q22" s="24">
        <f t="shared" si="10"/>
        <v>74010709.373951063</v>
      </c>
      <c r="R22" s="25">
        <f t="shared" si="7"/>
        <v>141067193.75674719</v>
      </c>
      <c r="S22" s="24">
        <f t="shared" si="3"/>
        <v>80448649.441043347</v>
      </c>
      <c r="T22" s="45">
        <f t="shared" ref="T22:T33" si="11">K22+S22</f>
        <v>1222292320.9155772</v>
      </c>
    </row>
    <row r="23" spans="1:20" ht="15.5" x14ac:dyDescent="0.35">
      <c r="A23" s="57">
        <v>20</v>
      </c>
      <c r="B23" s="21">
        <v>2044</v>
      </c>
      <c r="C23" s="95">
        <f t="shared" si="8"/>
        <v>28</v>
      </c>
      <c r="D23" s="95">
        <v>20</v>
      </c>
      <c r="E23" s="95">
        <f t="shared" si="5"/>
        <v>560</v>
      </c>
      <c r="F23" s="95">
        <f t="shared" si="9"/>
        <v>5525</v>
      </c>
      <c r="G23" s="95">
        <f t="shared" si="6"/>
        <v>24199.5</v>
      </c>
      <c r="H23" s="117">
        <f>'MT Per GW Emissions'!H25</f>
        <v>245.16696754996326</v>
      </c>
      <c r="I23" s="68">
        <v>317</v>
      </c>
      <c r="J23" s="68">
        <f t="shared" si="0"/>
        <v>1880735015.8984315</v>
      </c>
      <c r="K23" s="68">
        <f t="shared" si="1"/>
        <v>1265680750.8721716</v>
      </c>
      <c r="L23" s="74">
        <f>'MT Per GW Emissions'!J25</f>
        <v>0.14016020901561269</v>
      </c>
      <c r="M23" s="24">
        <v>22000</v>
      </c>
      <c r="N23" s="24">
        <f t="shared" si="2"/>
        <v>74619753.517613024</v>
      </c>
      <c r="O23" s="118">
        <f>'MT Per GW Emissions'!I25</f>
        <v>5.5338334951148045E-2</v>
      </c>
      <c r="P23" s="119">
        <v>61500</v>
      </c>
      <c r="Q23" s="24">
        <f t="shared" si="10"/>
        <v>82358342.253993884</v>
      </c>
      <c r="R23" s="25">
        <f t="shared" si="7"/>
        <v>156978095.77160692</v>
      </c>
      <c r="S23" s="24">
        <f t="shared" si="3"/>
        <v>86914965.567079186</v>
      </c>
      <c r="T23" s="45">
        <f t="shared" si="11"/>
        <v>1352595716.4392509</v>
      </c>
    </row>
    <row r="24" spans="1:20" ht="15.5" x14ac:dyDescent="0.35">
      <c r="A24" s="57">
        <v>21</v>
      </c>
      <c r="B24" s="21">
        <v>2045</v>
      </c>
      <c r="C24" s="95">
        <f t="shared" si="8"/>
        <v>29</v>
      </c>
      <c r="D24" s="95">
        <v>20</v>
      </c>
      <c r="E24" s="97">
        <f t="shared" si="5"/>
        <v>580</v>
      </c>
      <c r="F24" s="95">
        <f t="shared" si="9"/>
        <v>6105</v>
      </c>
      <c r="G24" s="95">
        <f t="shared" si="6"/>
        <v>26739.9</v>
      </c>
      <c r="H24" s="117">
        <f>'MT Per GW Emissions'!H26</f>
        <v>245.16696754996326</v>
      </c>
      <c r="I24" s="68">
        <v>321</v>
      </c>
      <c r="J24" s="68">
        <f t="shared" si="0"/>
        <v>2104392602.7841535</v>
      </c>
      <c r="K24" s="68">
        <f t="shared" si="1"/>
        <v>1388427348.3121443</v>
      </c>
      <c r="L24" s="74">
        <f>'MT Per GW Emissions'!J26</f>
        <v>0.14016020901561269</v>
      </c>
      <c r="M24" s="24">
        <v>22000</v>
      </c>
      <c r="N24" s="24">
        <f t="shared" si="2"/>
        <v>82453139.407244802</v>
      </c>
      <c r="O24" s="118">
        <f>'MT Per GW Emissions'!I26</f>
        <v>5.5338334951148045E-2</v>
      </c>
      <c r="P24" s="119">
        <v>61500</v>
      </c>
      <c r="Q24" s="24">
        <f t="shared" si="10"/>
        <v>91004104.879752517</v>
      </c>
      <c r="R24" s="25">
        <f t="shared" si="7"/>
        <v>173457244.28699732</v>
      </c>
      <c r="S24" s="24">
        <f t="shared" si="3"/>
        <v>93241816.06765689</v>
      </c>
      <c r="T24" s="45">
        <f t="shared" si="11"/>
        <v>1481669164.3798013</v>
      </c>
    </row>
    <row r="25" spans="1:20" ht="15.5" x14ac:dyDescent="0.35">
      <c r="A25" s="57">
        <v>22</v>
      </c>
      <c r="B25" s="21">
        <v>2046</v>
      </c>
      <c r="C25" s="95">
        <f t="shared" si="8"/>
        <v>30</v>
      </c>
      <c r="D25" s="95">
        <v>20</v>
      </c>
      <c r="E25" s="95">
        <f t="shared" si="5"/>
        <v>600</v>
      </c>
      <c r="F25" s="95">
        <f t="shared" si="9"/>
        <v>6705</v>
      </c>
      <c r="G25" s="95">
        <f t="shared" si="6"/>
        <v>29367.9</v>
      </c>
      <c r="H25" s="117">
        <f>'MT Per GW Emissions'!H27</f>
        <v>245.16696754996326</v>
      </c>
      <c r="I25" s="68">
        <v>326</v>
      </c>
      <c r="J25" s="68">
        <f t="shared" si="0"/>
        <v>2347212709.5372448</v>
      </c>
      <c r="K25" s="68">
        <f t="shared" si="1"/>
        <v>1518268806.445075</v>
      </c>
      <c r="L25" s="74">
        <f>'MT Per GW Emissions'!J27</f>
        <v>0.14016020901561269</v>
      </c>
      <c r="M25" s="24">
        <v>22000</v>
      </c>
      <c r="N25" s="24">
        <f t="shared" si="2"/>
        <v>90556642.051691458</v>
      </c>
      <c r="O25" s="118">
        <f>'MT Per GW Emissions'!I27</f>
        <v>5.5338334951148045E-2</v>
      </c>
      <c r="P25" s="119">
        <v>61500</v>
      </c>
      <c r="Q25" s="24">
        <f t="shared" si="10"/>
        <v>99947997.251226977</v>
      </c>
      <c r="R25" s="25">
        <f t="shared" si="7"/>
        <v>190504639.30291843</v>
      </c>
      <c r="S25" s="24">
        <f t="shared" si="3"/>
        <v>99422942.635535002</v>
      </c>
      <c r="T25" s="45">
        <f t="shared" si="11"/>
        <v>1617691749.08061</v>
      </c>
    </row>
    <row r="26" spans="1:20" ht="15.5" x14ac:dyDescent="0.35">
      <c r="A26" s="57">
        <v>23</v>
      </c>
      <c r="B26" s="21">
        <v>2047</v>
      </c>
      <c r="C26" s="95">
        <v>30</v>
      </c>
      <c r="D26" s="95">
        <v>20</v>
      </c>
      <c r="E26" s="95">
        <f t="shared" si="5"/>
        <v>600</v>
      </c>
      <c r="F26" s="95">
        <v>7305</v>
      </c>
      <c r="G26" s="95">
        <f t="shared" si="6"/>
        <v>31995.9</v>
      </c>
      <c r="H26" s="117">
        <f>'MT Per GW Emissions'!H28</f>
        <v>245.16696754996326</v>
      </c>
      <c r="I26" s="68">
        <v>331</v>
      </c>
      <c r="J26" s="68">
        <f t="shared" si="0"/>
        <v>2596475804.1975489</v>
      </c>
      <c r="K26" s="68">
        <f t="shared" si="1"/>
        <v>1646570496.3905673</v>
      </c>
      <c r="L26" s="74">
        <f>'MT Per GW Emissions'!J28</f>
        <v>0.14016020901561269</v>
      </c>
      <c r="M26" s="24">
        <v>22000</v>
      </c>
      <c r="N26" s="24">
        <f t="shared" si="2"/>
        <v>98660144.696138114</v>
      </c>
      <c r="O26" s="118">
        <f>'MT Per GW Emissions'!I28</f>
        <v>5.5338334951148045E-2</v>
      </c>
      <c r="P26" s="119">
        <v>61500</v>
      </c>
      <c r="Q26" s="24">
        <f t="shared" si="10"/>
        <v>108891889.62270142</v>
      </c>
      <c r="R26" s="25">
        <f t="shared" si="7"/>
        <v>207552034.31883955</v>
      </c>
      <c r="S26" s="24">
        <f t="shared" si="3"/>
        <v>105164903.15915281</v>
      </c>
      <c r="T26" s="45">
        <f t="shared" si="11"/>
        <v>1751735399.54972</v>
      </c>
    </row>
    <row r="27" spans="1:20" ht="15.5" x14ac:dyDescent="0.35">
      <c r="A27" s="57">
        <v>24</v>
      </c>
      <c r="B27" s="21">
        <v>2049</v>
      </c>
      <c r="C27" s="95">
        <v>30</v>
      </c>
      <c r="D27" s="95">
        <v>20</v>
      </c>
      <c r="E27" s="95">
        <f t="shared" si="5"/>
        <v>600</v>
      </c>
      <c r="F27" s="95">
        <v>7305</v>
      </c>
      <c r="G27" s="95">
        <f t="shared" si="6"/>
        <v>31995.9</v>
      </c>
      <c r="H27" s="117">
        <f>'MT Per GW Emissions'!H29</f>
        <v>245.16696754996326</v>
      </c>
      <c r="I27" s="68">
        <v>336</v>
      </c>
      <c r="J27" s="68">
        <f t="shared" si="0"/>
        <v>2635697493.0827084</v>
      </c>
      <c r="K27" s="68">
        <f t="shared" si="1"/>
        <v>1638669767.1560647</v>
      </c>
      <c r="L27" s="74">
        <f>'MT Per GW Emissions'!J29</f>
        <v>0.14016020901561269</v>
      </c>
      <c r="M27" s="24">
        <v>22000</v>
      </c>
      <c r="N27" s="24">
        <f t="shared" si="2"/>
        <v>98660144.696138114</v>
      </c>
      <c r="O27" s="118">
        <f>'MT Per GW Emissions'!I29</f>
        <v>5.5338334951148045E-2</v>
      </c>
      <c r="P27" s="119">
        <v>61500</v>
      </c>
      <c r="Q27" s="24">
        <f t="shared" si="10"/>
        <v>108891889.62270142</v>
      </c>
      <c r="R27" s="25">
        <f t="shared" si="7"/>
        <v>207552034.31883955</v>
      </c>
      <c r="S27" s="24">
        <f t="shared" si="3"/>
        <v>102101847.72733283</v>
      </c>
      <c r="T27" s="45">
        <f t="shared" si="11"/>
        <v>1740771614.8833976</v>
      </c>
    </row>
    <row r="28" spans="1:20" ht="15.5" x14ac:dyDescent="0.35">
      <c r="A28" s="57">
        <v>25</v>
      </c>
      <c r="B28" s="21">
        <v>2050</v>
      </c>
      <c r="C28" s="95">
        <v>30</v>
      </c>
      <c r="D28" s="98">
        <v>20</v>
      </c>
      <c r="E28" s="95">
        <f t="shared" si="5"/>
        <v>600</v>
      </c>
      <c r="F28" s="95">
        <v>7305</v>
      </c>
      <c r="G28" s="95">
        <f t="shared" si="6"/>
        <v>31995.9</v>
      </c>
      <c r="H28" s="117">
        <f>'MT Per GW Emissions'!H30</f>
        <v>245.16696754996326</v>
      </c>
      <c r="I28" s="68">
        <v>340</v>
      </c>
      <c r="J28" s="68">
        <f t="shared" si="0"/>
        <v>2667074844.1908355</v>
      </c>
      <c r="K28" s="68">
        <f t="shared" si="1"/>
        <v>1625664451.5437148</v>
      </c>
      <c r="L28" s="74">
        <f>'MT Per GW Emissions'!J30</f>
        <v>0.14016020901561269</v>
      </c>
      <c r="M28" s="24">
        <v>22000</v>
      </c>
      <c r="N28" s="24">
        <f t="shared" si="2"/>
        <v>98660144.696138114</v>
      </c>
      <c r="O28" s="118">
        <f>'MT Per GW Emissions'!I30</f>
        <v>5.5338334951148045E-2</v>
      </c>
      <c r="P28" s="119">
        <v>61500</v>
      </c>
      <c r="Q28" s="24">
        <f t="shared" si="10"/>
        <v>108891889.62270142</v>
      </c>
      <c r="R28" s="25">
        <f t="shared" si="7"/>
        <v>207552034.31883955</v>
      </c>
      <c r="S28" s="24">
        <f t="shared" si="3"/>
        <v>99128007.502264887</v>
      </c>
      <c r="T28" s="45">
        <f t="shared" si="11"/>
        <v>1724792459.0459797</v>
      </c>
    </row>
    <row r="29" spans="1:20" ht="15.5" x14ac:dyDescent="0.35">
      <c r="A29" s="57">
        <v>26</v>
      </c>
      <c r="B29" s="21">
        <v>2051</v>
      </c>
      <c r="C29" s="95">
        <v>30</v>
      </c>
      <c r="D29" s="98">
        <v>20</v>
      </c>
      <c r="E29" s="95">
        <f t="shared" si="5"/>
        <v>600</v>
      </c>
      <c r="F29" s="95">
        <v>7305</v>
      </c>
      <c r="G29" s="95">
        <f t="shared" si="6"/>
        <v>31995.9</v>
      </c>
      <c r="H29" s="73">
        <v>245</v>
      </c>
      <c r="I29" s="68">
        <v>345</v>
      </c>
      <c r="J29" s="68">
        <f t="shared" ref="J29:J33" si="12">G29*H29*I29</f>
        <v>2704453447.5</v>
      </c>
      <c r="K29" s="68">
        <f t="shared" ref="K29:K33" si="13">J29/(1+0.02)^A29</f>
        <v>1616125357.0175304</v>
      </c>
      <c r="L29" s="74">
        <v>0.14016020900000001</v>
      </c>
      <c r="M29" s="24">
        <v>22000</v>
      </c>
      <c r="N29" s="24">
        <f t="shared" si="2"/>
        <v>98660144.685148194</v>
      </c>
      <c r="O29" s="118">
        <v>5.5338335000000002E-2</v>
      </c>
      <c r="P29" s="119">
        <v>61500</v>
      </c>
      <c r="Q29" s="24">
        <f t="shared" si="10"/>
        <v>108891889.71882977</v>
      </c>
      <c r="R29" s="25">
        <f t="shared" si="7"/>
        <v>207552034.40397796</v>
      </c>
      <c r="S29" s="24">
        <f t="shared" ref="S29:S33" si="14">R29/(1+0.03)^A29</f>
        <v>96240784.022259668</v>
      </c>
      <c r="T29" s="45">
        <f t="shared" si="11"/>
        <v>1712366141.0397902</v>
      </c>
    </row>
    <row r="30" spans="1:20" ht="15.5" x14ac:dyDescent="0.35">
      <c r="A30" s="57">
        <v>27</v>
      </c>
      <c r="B30" s="21">
        <v>2052</v>
      </c>
      <c r="C30" s="95">
        <v>30</v>
      </c>
      <c r="D30" s="98">
        <v>20</v>
      </c>
      <c r="E30" s="95">
        <f t="shared" si="5"/>
        <v>600</v>
      </c>
      <c r="F30" s="95">
        <v>7305</v>
      </c>
      <c r="G30" s="95">
        <f t="shared" si="6"/>
        <v>31995.9</v>
      </c>
      <c r="H30" s="73">
        <v>245</v>
      </c>
      <c r="I30" s="68">
        <v>349</v>
      </c>
      <c r="J30" s="68">
        <f t="shared" si="12"/>
        <v>2735809429.5</v>
      </c>
      <c r="K30" s="68">
        <f t="shared" si="13"/>
        <v>1602806904.2316515</v>
      </c>
      <c r="L30" s="74">
        <v>0.14016020900000001</v>
      </c>
      <c r="M30" s="24">
        <v>22000</v>
      </c>
      <c r="N30" s="24">
        <f t="shared" si="2"/>
        <v>98660144.685148194</v>
      </c>
      <c r="O30" s="118">
        <v>5.5338335000000002E-2</v>
      </c>
      <c r="P30" s="119">
        <v>61500</v>
      </c>
      <c r="Q30" s="24">
        <f t="shared" si="10"/>
        <v>108891889.71882977</v>
      </c>
      <c r="R30" s="25">
        <f t="shared" si="7"/>
        <v>207552034.40397796</v>
      </c>
      <c r="S30" s="24">
        <f t="shared" si="14"/>
        <v>93437654.390543371</v>
      </c>
      <c r="T30" s="45">
        <f t="shared" si="11"/>
        <v>1696244558.622195</v>
      </c>
    </row>
    <row r="31" spans="1:20" ht="15.5" x14ac:dyDescent="0.35">
      <c r="A31" s="57">
        <v>28</v>
      </c>
      <c r="B31" s="21">
        <v>2053</v>
      </c>
      <c r="C31" s="95">
        <v>30</v>
      </c>
      <c r="D31" s="98">
        <v>20</v>
      </c>
      <c r="E31" s="95">
        <f t="shared" si="5"/>
        <v>600</v>
      </c>
      <c r="F31" s="95">
        <v>7305</v>
      </c>
      <c r="G31" s="95">
        <f t="shared" si="6"/>
        <v>31995.9</v>
      </c>
      <c r="H31" s="73">
        <v>245</v>
      </c>
      <c r="I31" s="68">
        <v>353</v>
      </c>
      <c r="J31" s="68">
        <f t="shared" si="12"/>
        <v>2767165411.5</v>
      </c>
      <c r="K31" s="68">
        <f t="shared" si="13"/>
        <v>1589389396.0159922</v>
      </c>
      <c r="L31" s="74">
        <v>0.14016020900000001</v>
      </c>
      <c r="M31" s="24">
        <v>22000</v>
      </c>
      <c r="N31" s="24">
        <f t="shared" si="2"/>
        <v>98660144.685148194</v>
      </c>
      <c r="O31" s="118">
        <v>5.5338335000000002E-2</v>
      </c>
      <c r="P31" s="119">
        <v>61500</v>
      </c>
      <c r="Q31" s="24">
        <f t="shared" si="10"/>
        <v>108891889.71882977</v>
      </c>
      <c r="R31" s="25">
        <f t="shared" si="7"/>
        <v>207552034.40397796</v>
      </c>
      <c r="S31" s="24">
        <f t="shared" si="14"/>
        <v>90716169.31120716</v>
      </c>
      <c r="T31" s="45">
        <f t="shared" si="11"/>
        <v>1680105565.3271992</v>
      </c>
    </row>
    <row r="32" spans="1:20" ht="15.5" x14ac:dyDescent="0.35">
      <c r="A32" s="57">
        <v>29</v>
      </c>
      <c r="B32" s="21">
        <v>2054</v>
      </c>
      <c r="C32" s="95">
        <v>30</v>
      </c>
      <c r="D32" s="98">
        <v>20</v>
      </c>
      <c r="E32" s="95">
        <f t="shared" si="5"/>
        <v>600</v>
      </c>
      <c r="F32" s="95">
        <v>7305</v>
      </c>
      <c r="G32" s="95">
        <f t="shared" si="6"/>
        <v>31995.9</v>
      </c>
      <c r="H32" s="73">
        <v>245</v>
      </c>
      <c r="I32" s="68">
        <v>357</v>
      </c>
      <c r="J32" s="68">
        <f t="shared" si="12"/>
        <v>2798521393.5</v>
      </c>
      <c r="K32" s="68">
        <f t="shared" si="13"/>
        <v>1575881837.4096241</v>
      </c>
      <c r="L32" s="74">
        <v>0.14016020900000001</v>
      </c>
      <c r="M32" s="24">
        <v>22000</v>
      </c>
      <c r="N32" s="24">
        <f t="shared" si="2"/>
        <v>98660144.685148194</v>
      </c>
      <c r="O32" s="118">
        <v>5.5338335000000002E-2</v>
      </c>
      <c r="P32" s="119">
        <v>61500</v>
      </c>
      <c r="Q32" s="24">
        <f t="shared" si="10"/>
        <v>108891889.71882977</v>
      </c>
      <c r="R32" s="25">
        <f t="shared" si="7"/>
        <v>207552034.40397796</v>
      </c>
      <c r="S32" s="24">
        <f t="shared" si="14"/>
        <v>88073950.787579775</v>
      </c>
      <c r="T32" s="45">
        <f t="shared" si="11"/>
        <v>1663955788.1972039</v>
      </c>
    </row>
    <row r="33" spans="1:24" ht="15.5" x14ac:dyDescent="0.35">
      <c r="A33" s="181">
        <v>30</v>
      </c>
      <c r="B33" s="21">
        <v>2055</v>
      </c>
      <c r="C33" s="95">
        <v>30</v>
      </c>
      <c r="D33" s="98">
        <v>20</v>
      </c>
      <c r="E33" s="95">
        <f t="shared" si="5"/>
        <v>600</v>
      </c>
      <c r="F33" s="95">
        <v>7305</v>
      </c>
      <c r="G33" s="95">
        <f t="shared" si="6"/>
        <v>31995.9</v>
      </c>
      <c r="H33" s="73">
        <v>245</v>
      </c>
      <c r="I33" s="68">
        <v>357</v>
      </c>
      <c r="J33" s="68">
        <f t="shared" si="12"/>
        <v>2798521393.5</v>
      </c>
      <c r="K33" s="68">
        <f t="shared" si="13"/>
        <v>1544982193.5388472</v>
      </c>
      <c r="L33" s="74">
        <v>0.14016020900000001</v>
      </c>
      <c r="M33" s="24">
        <v>22000</v>
      </c>
      <c r="N33" s="24">
        <f t="shared" si="2"/>
        <v>98660144.685148194</v>
      </c>
      <c r="O33" s="118">
        <v>5.5338335000000002E-2</v>
      </c>
      <c r="P33" s="119">
        <v>61500</v>
      </c>
      <c r="Q33" s="24">
        <f t="shared" si="10"/>
        <v>108891889.71882977</v>
      </c>
      <c r="R33" s="25">
        <f t="shared" si="7"/>
        <v>207552034.40397796</v>
      </c>
      <c r="S33" s="24">
        <f t="shared" si="14"/>
        <v>85508690.085028902</v>
      </c>
      <c r="T33" s="45">
        <f t="shared" si="11"/>
        <v>1630490883.6238761</v>
      </c>
    </row>
    <row r="34" spans="1:24" ht="15.5" x14ac:dyDescent="0.35">
      <c r="A34" s="181">
        <v>31</v>
      </c>
      <c r="B34" s="172">
        <v>2056</v>
      </c>
      <c r="C34" s="173"/>
      <c r="D34" s="98"/>
      <c r="E34" s="173"/>
      <c r="F34" s="173"/>
      <c r="G34" s="173"/>
      <c r="H34" s="174"/>
      <c r="I34" s="175"/>
      <c r="J34" s="175"/>
      <c r="K34" s="175"/>
      <c r="L34" s="176"/>
      <c r="M34" s="153"/>
      <c r="N34" s="153"/>
      <c r="O34" s="177"/>
      <c r="P34" s="178"/>
      <c r="Q34" s="153"/>
      <c r="R34" s="179"/>
      <c r="S34" s="153"/>
      <c r="T34" s="180"/>
    </row>
    <row r="35" spans="1:24" ht="15.5" x14ac:dyDescent="0.35">
      <c r="A35" s="181">
        <v>32</v>
      </c>
      <c r="B35" s="172">
        <v>2057</v>
      </c>
      <c r="C35" s="173"/>
      <c r="D35" s="98"/>
      <c r="E35" s="173"/>
      <c r="F35" s="173"/>
      <c r="G35" s="173"/>
      <c r="H35" s="174"/>
      <c r="I35" s="175"/>
      <c r="J35" s="175"/>
      <c r="K35" s="175"/>
      <c r="L35" s="176"/>
      <c r="M35" s="153"/>
      <c r="N35" s="153"/>
      <c r="O35" s="177"/>
      <c r="P35" s="178"/>
      <c r="Q35" s="153"/>
      <c r="R35" s="179"/>
      <c r="S35" s="153"/>
      <c r="T35" s="180"/>
    </row>
    <row r="36" spans="1:24" ht="15.5" x14ac:dyDescent="0.35">
      <c r="A36" s="181">
        <v>33</v>
      </c>
      <c r="B36" s="172">
        <v>2058</v>
      </c>
      <c r="C36" s="173"/>
      <c r="D36" s="98"/>
      <c r="E36" s="173"/>
      <c r="F36" s="173"/>
      <c r="G36" s="173"/>
      <c r="H36" s="174"/>
      <c r="I36" s="175"/>
      <c r="J36" s="175"/>
      <c r="K36" s="175"/>
      <c r="L36" s="176"/>
      <c r="M36" s="153"/>
      <c r="N36" s="153"/>
      <c r="O36" s="177"/>
      <c r="P36" s="178"/>
      <c r="Q36" s="153"/>
      <c r="R36" s="179"/>
      <c r="S36" s="153"/>
      <c r="T36" s="180"/>
    </row>
    <row r="37" spans="1:24" ht="15.5" x14ac:dyDescent="0.35">
      <c r="A37" s="181">
        <v>34</v>
      </c>
      <c r="B37" s="172">
        <v>2059</v>
      </c>
      <c r="C37" s="173"/>
      <c r="D37" s="98"/>
      <c r="E37" s="173"/>
      <c r="F37" s="173"/>
      <c r="G37" s="173"/>
      <c r="H37" s="174"/>
      <c r="I37" s="175"/>
      <c r="J37" s="175"/>
      <c r="K37" s="175"/>
      <c r="L37" s="176"/>
      <c r="M37" s="153"/>
      <c r="N37" s="153"/>
      <c r="O37" s="177"/>
      <c r="P37" s="178"/>
      <c r="Q37" s="153"/>
      <c r="R37" s="179"/>
      <c r="S37" s="153"/>
      <c r="T37" s="180"/>
      <c r="V37" s="184" t="s">
        <v>119</v>
      </c>
      <c r="W37" s="184" t="s">
        <v>120</v>
      </c>
      <c r="X37" s="184" t="s">
        <v>66</v>
      </c>
    </row>
    <row r="38" spans="1:24" ht="15.5" x14ac:dyDescent="0.35">
      <c r="A38" s="181">
        <v>35</v>
      </c>
      <c r="B38" s="172">
        <v>2060</v>
      </c>
      <c r="C38" s="173"/>
      <c r="D38" s="98"/>
      <c r="E38" s="173"/>
      <c r="F38" s="173"/>
      <c r="G38" s="173"/>
      <c r="H38" s="174"/>
      <c r="I38" s="175"/>
      <c r="J38" s="175"/>
      <c r="K38" s="175"/>
      <c r="L38" s="176"/>
      <c r="M38" s="153"/>
      <c r="N38" s="153"/>
      <c r="O38" s="177"/>
      <c r="P38" s="178"/>
      <c r="Q38" s="153"/>
      <c r="R38" s="179"/>
      <c r="S38" s="153"/>
      <c r="T38" s="180"/>
      <c r="V38" s="185"/>
      <c r="W38" s="185">
        <f>N39/(1+0.03)^A38</f>
        <v>519918247.09575343</v>
      </c>
      <c r="X38" s="185">
        <f>Q39/(1+0.03)^A38</f>
        <v>573853648.46292007</v>
      </c>
    </row>
    <row r="39" spans="1:24" x14ac:dyDescent="0.3">
      <c r="A39" s="26" t="s">
        <v>13</v>
      </c>
      <c r="B39" s="26"/>
      <c r="C39" s="26"/>
      <c r="D39" s="26"/>
      <c r="E39" s="26"/>
      <c r="F39" s="26"/>
      <c r="G39" s="26"/>
      <c r="H39" s="27"/>
      <c r="I39" s="28"/>
      <c r="J39" s="28"/>
      <c r="K39" s="28">
        <f>SUM(K4:K38)</f>
        <v>24424430500.738953</v>
      </c>
      <c r="L39" s="75"/>
      <c r="M39" s="28"/>
      <c r="N39" s="28">
        <f>SUM(N9:N38)</f>
        <v>1462978434.8453965</v>
      </c>
      <c r="O39" s="75"/>
      <c r="P39" s="75"/>
      <c r="Q39" s="28">
        <f>SUM(Q9:Q38)</f>
        <v>1614745235.7139251</v>
      </c>
      <c r="R39" s="28"/>
      <c r="S39" s="28">
        <f>SUM(S6:S33)</f>
        <v>1616854267.1615338</v>
      </c>
      <c r="T39" s="28">
        <f>SUM(T9:T38)</f>
        <v>26041284767.90049</v>
      </c>
    </row>
    <row r="42" spans="1:24" ht="17.5" customHeight="1" x14ac:dyDescent="0.3">
      <c r="A42" s="206" t="s">
        <v>22</v>
      </c>
      <c r="B42" s="207"/>
      <c r="C42" s="207"/>
      <c r="D42" s="207"/>
      <c r="E42" s="207"/>
      <c r="F42" s="207"/>
      <c r="G42" s="207"/>
      <c r="H42" s="207"/>
      <c r="I42" s="207"/>
      <c r="J42" s="207"/>
      <c r="K42" s="207"/>
      <c r="L42" s="207"/>
      <c r="M42" s="207"/>
      <c r="N42" s="207"/>
      <c r="O42" s="207"/>
      <c r="P42" s="207"/>
      <c r="Q42" s="207"/>
      <c r="R42" s="207"/>
      <c r="S42" s="207"/>
      <c r="T42" s="207"/>
    </row>
    <row r="43" spans="1:24" ht="17.5" customHeight="1" x14ac:dyDescent="0.3">
      <c r="A43" s="208" t="s">
        <v>126</v>
      </c>
      <c r="B43" s="209"/>
      <c r="C43" s="209"/>
      <c r="D43" s="209"/>
      <c r="E43" s="209"/>
      <c r="F43" s="209"/>
      <c r="G43" s="209"/>
      <c r="H43" s="209"/>
      <c r="I43" s="209"/>
      <c r="J43" s="209"/>
      <c r="K43" s="209"/>
      <c r="L43" s="209"/>
      <c r="M43" s="209"/>
      <c r="N43" s="209"/>
      <c r="O43" s="209"/>
      <c r="P43" s="209"/>
      <c r="Q43" s="209"/>
      <c r="R43" s="209"/>
      <c r="S43" s="209"/>
      <c r="T43" s="209"/>
    </row>
    <row r="44" spans="1:24" ht="99" thickBot="1" x14ac:dyDescent="0.4">
      <c r="A44" s="18" t="s">
        <v>7</v>
      </c>
      <c r="B44" s="18" t="s">
        <v>8</v>
      </c>
      <c r="C44" s="18" t="s">
        <v>61</v>
      </c>
      <c r="D44" s="18" t="s">
        <v>62</v>
      </c>
      <c r="E44" s="18" t="s">
        <v>63</v>
      </c>
      <c r="F44" s="18" t="s">
        <v>64</v>
      </c>
      <c r="G44" s="18" t="s">
        <v>72</v>
      </c>
      <c r="H44" s="18" t="s">
        <v>73</v>
      </c>
      <c r="I44" s="72" t="s">
        <v>28</v>
      </c>
      <c r="J44" s="69" t="s">
        <v>82</v>
      </c>
      <c r="K44" s="69" t="s">
        <v>32</v>
      </c>
      <c r="L44" s="18" t="s">
        <v>74</v>
      </c>
      <c r="M44" s="62" t="s">
        <v>23</v>
      </c>
      <c r="N44" s="69" t="s">
        <v>121</v>
      </c>
      <c r="O44" s="18" t="s">
        <v>75</v>
      </c>
      <c r="P44" s="62" t="s">
        <v>76</v>
      </c>
      <c r="Q44" s="69" t="s">
        <v>77</v>
      </c>
      <c r="R44" s="19" t="s">
        <v>17</v>
      </c>
      <c r="S44" s="19" t="s">
        <v>19</v>
      </c>
      <c r="T44" s="43" t="s">
        <v>18</v>
      </c>
    </row>
    <row r="45" spans="1:24" ht="15.5" x14ac:dyDescent="0.35">
      <c r="A45" s="1">
        <v>1</v>
      </c>
      <c r="B45" s="21">
        <v>2025</v>
      </c>
      <c r="C45" s="123"/>
      <c r="D45" s="123"/>
      <c r="E45" s="123"/>
      <c r="F45" s="123"/>
      <c r="G45" s="123"/>
      <c r="H45" s="73"/>
      <c r="I45" s="68"/>
      <c r="J45" s="68"/>
      <c r="K45" s="68"/>
      <c r="L45" s="74"/>
      <c r="M45" s="22"/>
      <c r="N45" s="22"/>
      <c r="O45" s="20"/>
      <c r="P45" s="20"/>
      <c r="Q45" s="22"/>
      <c r="R45" s="25"/>
      <c r="S45" s="23"/>
      <c r="T45" s="44"/>
    </row>
    <row r="46" spans="1:24" ht="15.5" x14ac:dyDescent="0.35">
      <c r="A46" s="3">
        <v>2</v>
      </c>
      <c r="B46" s="21">
        <v>2026</v>
      </c>
      <c r="C46" s="123"/>
      <c r="D46" s="123"/>
      <c r="E46" s="123"/>
      <c r="F46" s="123"/>
      <c r="G46" s="123"/>
      <c r="H46" s="73"/>
      <c r="I46" s="68"/>
      <c r="J46" s="68"/>
      <c r="K46" s="68"/>
      <c r="L46" s="74"/>
      <c r="M46" s="24"/>
      <c r="N46" s="32"/>
      <c r="O46" s="118"/>
      <c r="P46" s="118"/>
      <c r="Q46" s="22"/>
      <c r="R46" s="25"/>
      <c r="S46" s="23"/>
      <c r="T46" s="44"/>
    </row>
    <row r="47" spans="1:24" ht="15.5" x14ac:dyDescent="0.35">
      <c r="A47" s="3">
        <v>3</v>
      </c>
      <c r="B47" s="21">
        <v>2027</v>
      </c>
      <c r="C47" s="120"/>
      <c r="D47" s="120"/>
      <c r="E47" s="120"/>
      <c r="F47" s="120"/>
      <c r="G47" s="120"/>
      <c r="H47" s="73"/>
      <c r="I47" s="68"/>
      <c r="J47" s="68"/>
      <c r="K47" s="68"/>
      <c r="L47" s="74"/>
      <c r="M47" s="24"/>
      <c r="N47" s="32"/>
      <c r="O47" s="118"/>
      <c r="P47" s="118"/>
      <c r="Q47" s="24"/>
      <c r="R47" s="25"/>
      <c r="S47" s="24"/>
      <c r="T47" s="45"/>
    </row>
    <row r="48" spans="1:24" ht="15.5" x14ac:dyDescent="0.35">
      <c r="A48" s="3">
        <v>4</v>
      </c>
      <c r="B48" s="21">
        <v>2028</v>
      </c>
      <c r="C48" s="120"/>
      <c r="D48" s="120"/>
      <c r="E48" s="120"/>
      <c r="F48" s="120"/>
      <c r="G48" s="120"/>
      <c r="H48" s="73"/>
      <c r="I48" s="68"/>
      <c r="J48" s="68"/>
      <c r="K48" s="68"/>
      <c r="L48" s="74"/>
      <c r="M48" s="24"/>
      <c r="N48" s="32"/>
      <c r="O48" s="118"/>
      <c r="P48" s="118"/>
      <c r="Q48" s="24"/>
      <c r="R48" s="25"/>
      <c r="S48" s="24"/>
      <c r="T48" s="45"/>
    </row>
    <row r="49" spans="1:20" ht="15.5" x14ac:dyDescent="0.35">
      <c r="A49" s="121">
        <v>5</v>
      </c>
      <c r="B49" s="122">
        <v>2029</v>
      </c>
      <c r="C49" s="120"/>
      <c r="D49" s="120"/>
      <c r="E49" s="120"/>
      <c r="F49" s="120"/>
      <c r="G49" s="120"/>
      <c r="H49" s="73"/>
      <c r="I49" s="68"/>
      <c r="J49" s="68"/>
      <c r="K49" s="68"/>
      <c r="L49" s="74"/>
      <c r="M49" s="24"/>
      <c r="N49" s="24"/>
      <c r="O49" s="118"/>
      <c r="P49" s="118"/>
      <c r="Q49" s="24"/>
      <c r="R49" s="25"/>
      <c r="S49" s="24"/>
      <c r="T49" s="45"/>
    </row>
    <row r="50" spans="1:20" ht="15.5" x14ac:dyDescent="0.35">
      <c r="A50" s="3">
        <v>6</v>
      </c>
      <c r="B50" s="21">
        <v>2030</v>
      </c>
      <c r="C50" s="95"/>
      <c r="D50" s="95"/>
      <c r="E50" s="95"/>
      <c r="F50" s="95"/>
      <c r="G50" s="95"/>
      <c r="H50" s="117"/>
      <c r="I50" s="68"/>
      <c r="J50" s="68"/>
      <c r="K50" s="68"/>
      <c r="L50" s="74"/>
      <c r="M50" s="24"/>
      <c r="N50" s="24"/>
      <c r="O50" s="118"/>
      <c r="P50" s="119"/>
      <c r="Q50" s="24"/>
      <c r="R50" s="25"/>
      <c r="S50" s="24"/>
      <c r="T50" s="45"/>
    </row>
    <row r="51" spans="1:20" ht="15.5" x14ac:dyDescent="0.35">
      <c r="A51" s="3">
        <v>7</v>
      </c>
      <c r="B51" s="21">
        <v>2031</v>
      </c>
      <c r="C51" s="95"/>
      <c r="D51" s="95"/>
      <c r="E51" s="95"/>
      <c r="F51" s="95"/>
      <c r="G51" s="95"/>
      <c r="H51" s="117"/>
      <c r="I51" s="68"/>
      <c r="J51" s="68"/>
      <c r="K51" s="68"/>
      <c r="L51" s="74"/>
      <c r="M51" s="24"/>
      <c r="N51" s="24"/>
      <c r="O51" s="118"/>
      <c r="P51" s="119"/>
      <c r="Q51" s="24"/>
      <c r="R51" s="25"/>
      <c r="S51" s="24"/>
      <c r="T51" s="45"/>
    </row>
    <row r="52" spans="1:20" ht="15.5" x14ac:dyDescent="0.35">
      <c r="A52" s="3">
        <v>8</v>
      </c>
      <c r="B52" s="21">
        <v>2032</v>
      </c>
      <c r="C52" s="95"/>
      <c r="D52" s="95"/>
      <c r="E52" s="95"/>
      <c r="F52" s="95"/>
      <c r="G52" s="95"/>
      <c r="H52" s="117"/>
      <c r="I52" s="68"/>
      <c r="J52" s="68"/>
      <c r="K52" s="68"/>
      <c r="L52" s="74"/>
      <c r="M52" s="24"/>
      <c r="N52" s="24"/>
      <c r="O52" s="118"/>
      <c r="P52" s="119"/>
      <c r="Q52" s="24"/>
      <c r="R52" s="25"/>
      <c r="S52" s="24"/>
      <c r="T52" s="45"/>
    </row>
    <row r="53" spans="1:20" ht="15.5" x14ac:dyDescent="0.35">
      <c r="A53" s="3">
        <v>9</v>
      </c>
      <c r="B53" s="21">
        <v>2033</v>
      </c>
      <c r="C53" s="95"/>
      <c r="D53" s="95"/>
      <c r="E53" s="95"/>
      <c r="F53" s="94"/>
      <c r="G53" s="95"/>
      <c r="H53" s="117"/>
      <c r="I53" s="68"/>
      <c r="J53" s="68"/>
      <c r="K53" s="68"/>
      <c r="L53" s="74"/>
      <c r="M53" s="24"/>
      <c r="N53" s="24"/>
      <c r="O53" s="118"/>
      <c r="P53" s="119"/>
      <c r="Q53" s="24"/>
      <c r="R53" s="25"/>
      <c r="S53" s="24"/>
      <c r="T53" s="45"/>
    </row>
    <row r="54" spans="1:20" ht="15.5" x14ac:dyDescent="0.35">
      <c r="A54" s="3">
        <v>10</v>
      </c>
      <c r="B54" s="21">
        <v>2034</v>
      </c>
      <c r="C54" s="95"/>
      <c r="D54" s="95"/>
      <c r="E54" s="95"/>
      <c r="F54" s="95"/>
      <c r="G54" s="95"/>
      <c r="H54" s="117"/>
      <c r="I54" s="68"/>
      <c r="J54" s="68"/>
      <c r="K54" s="68"/>
      <c r="L54" s="74"/>
      <c r="M54" s="24"/>
      <c r="N54" s="24"/>
      <c r="O54" s="118"/>
      <c r="P54" s="119"/>
      <c r="Q54" s="24"/>
      <c r="R54" s="25"/>
      <c r="S54" s="24"/>
      <c r="T54" s="45"/>
    </row>
    <row r="55" spans="1:20" x14ac:dyDescent="0.3">
      <c r="A55" s="126">
        <v>11</v>
      </c>
      <c r="B55" s="127">
        <v>2035</v>
      </c>
      <c r="C55" s="95">
        <v>15</v>
      </c>
      <c r="D55" s="95">
        <v>15</v>
      </c>
      <c r="E55" s="95">
        <f t="shared" ref="E55:E74" si="15">D55*C55</f>
        <v>225</v>
      </c>
      <c r="F55" s="95">
        <f t="shared" ref="F55:F74" si="16">F54+E55</f>
        <v>225</v>
      </c>
      <c r="G55" s="95">
        <f t="shared" ref="G55:G74" si="17">F55*0.5*8760/1000</f>
        <v>985.5</v>
      </c>
      <c r="H55" s="117">
        <f>'MT Per GW Emissions'!H16</f>
        <v>245.16696754996326</v>
      </c>
      <c r="I55" s="68">
        <v>278</v>
      </c>
      <c r="J55" s="68">
        <f t="shared" ref="J55:J74" si="18">G55*H55*I55</f>
        <v>67168148.932695881</v>
      </c>
      <c r="K55" s="68">
        <f t="shared" ref="K55:K69" si="19">J55/(1+0.02)^A55</f>
        <v>54020859.590880692</v>
      </c>
      <c r="L55" s="74">
        <f>'MT Per GW Emissions'!J16</f>
        <v>0.14016020901561269</v>
      </c>
      <c r="M55" s="24">
        <v>22000</v>
      </c>
      <c r="N55" s="24">
        <f t="shared" ref="N55:N69" si="20">G55*L55*M55</f>
        <v>3038813.4916674984</v>
      </c>
      <c r="O55" s="118">
        <f>'MT Per GW Emissions'!I16</f>
        <v>5.5338334951148045E-2</v>
      </c>
      <c r="P55" s="119">
        <v>61500</v>
      </c>
      <c r="Q55" s="24">
        <f>G55*O55*P55</f>
        <v>3353959.6393029187</v>
      </c>
      <c r="R55" s="25">
        <f t="shared" ref="R55:R75" si="21">N55+Q55</f>
        <v>6392773.1309704166</v>
      </c>
      <c r="S55" s="24">
        <f t="shared" ref="S55:S69" si="22">R55/(1+0.03)^A55</f>
        <v>4618275.3262819154</v>
      </c>
      <c r="T55" s="45">
        <f t="shared" ref="T55:T62" si="23">K55+S55</f>
        <v>58639134.917162605</v>
      </c>
    </row>
    <row r="56" spans="1:20" ht="15.5" x14ac:dyDescent="0.35">
      <c r="A56" s="3">
        <v>12</v>
      </c>
      <c r="B56" s="21">
        <v>2036</v>
      </c>
      <c r="C56" s="95">
        <f>C55+1</f>
        <v>16</v>
      </c>
      <c r="D56" s="95">
        <v>15</v>
      </c>
      <c r="E56" s="97">
        <f t="shared" si="15"/>
        <v>240</v>
      </c>
      <c r="F56" s="95">
        <f t="shared" si="16"/>
        <v>465</v>
      </c>
      <c r="G56" s="95">
        <f t="shared" si="17"/>
        <v>2036.7</v>
      </c>
      <c r="H56" s="117">
        <f>'MT Per GW Emissions'!H17</f>
        <v>245.16696754996326</v>
      </c>
      <c r="I56" s="68">
        <v>282</v>
      </c>
      <c r="J56" s="68">
        <f t="shared" si="18"/>
        <v>140811500.71214089</v>
      </c>
      <c r="K56" s="68">
        <f t="shared" si="19"/>
        <v>111028907.35493463</v>
      </c>
      <c r="L56" s="74">
        <f>'MT Per GW Emissions'!J17</f>
        <v>0.14016020901561269</v>
      </c>
      <c r="M56" s="24">
        <v>22000</v>
      </c>
      <c r="N56" s="24">
        <f t="shared" si="20"/>
        <v>6280214.5494461637</v>
      </c>
      <c r="O56" s="118">
        <f>'MT Per GW Emissions'!I17</f>
        <v>5.5338334951148045E-2</v>
      </c>
      <c r="P56" s="119">
        <v>61500</v>
      </c>
      <c r="Q56" s="24">
        <f t="shared" ref="Q56:Q74" si="24">G56*O56*P56</f>
        <v>6931516.5878926981</v>
      </c>
      <c r="R56" s="25">
        <f t="shared" si="21"/>
        <v>13211731.137338862</v>
      </c>
      <c r="S56" s="24">
        <f t="shared" si="22"/>
        <v>9266442.4022485036</v>
      </c>
      <c r="T56" s="45">
        <f t="shared" si="23"/>
        <v>120295349.75718313</v>
      </c>
    </row>
    <row r="57" spans="1:20" ht="15.5" x14ac:dyDescent="0.35">
      <c r="A57" s="3">
        <v>13</v>
      </c>
      <c r="B57" s="21">
        <v>2037</v>
      </c>
      <c r="C57" s="95">
        <f t="shared" ref="C57:C69" si="25">C56+1</f>
        <v>17</v>
      </c>
      <c r="D57" s="95">
        <v>15</v>
      </c>
      <c r="E57" s="95">
        <f t="shared" si="15"/>
        <v>255</v>
      </c>
      <c r="F57" s="95">
        <f t="shared" si="16"/>
        <v>720</v>
      </c>
      <c r="G57" s="95">
        <f t="shared" si="17"/>
        <v>3153.6</v>
      </c>
      <c r="H57" s="117">
        <f>'MT Per GW Emissions'!H18</f>
        <v>245.16696754996326</v>
      </c>
      <c r="I57" s="68">
        <v>287</v>
      </c>
      <c r="J57" s="68">
        <f t="shared" si="18"/>
        <v>221896503.52441692</v>
      </c>
      <c r="K57" s="68">
        <f t="shared" si="19"/>
        <v>171533214.42591542</v>
      </c>
      <c r="L57" s="74">
        <f>'MT Per GW Emissions'!J18</f>
        <v>0.14016020901561269</v>
      </c>
      <c r="M57" s="24">
        <v>22000</v>
      </c>
      <c r="N57" s="24">
        <f t="shared" si="20"/>
        <v>9724203.1733359955</v>
      </c>
      <c r="O57" s="118">
        <f>'MT Per GW Emissions'!I18</f>
        <v>5.5338334951148045E-2</v>
      </c>
      <c r="P57" s="119">
        <v>61500</v>
      </c>
      <c r="Q57" s="24">
        <f t="shared" si="24"/>
        <v>10732670.84576934</v>
      </c>
      <c r="R57" s="25">
        <f t="shared" si="21"/>
        <v>20456874.019105338</v>
      </c>
      <c r="S57" s="24">
        <f t="shared" si="22"/>
        <v>13930135.775381407</v>
      </c>
      <c r="T57" s="45">
        <f t="shared" si="23"/>
        <v>185463350.20129684</v>
      </c>
    </row>
    <row r="58" spans="1:20" ht="15.5" x14ac:dyDescent="0.35">
      <c r="A58" s="3">
        <v>14</v>
      </c>
      <c r="B58" s="21">
        <v>2038</v>
      </c>
      <c r="C58" s="95">
        <f t="shared" si="25"/>
        <v>18</v>
      </c>
      <c r="D58" s="95">
        <v>15</v>
      </c>
      <c r="E58" s="95">
        <f t="shared" si="15"/>
        <v>270</v>
      </c>
      <c r="F58" s="94">
        <f t="shared" si="16"/>
        <v>990</v>
      </c>
      <c r="G58" s="95">
        <f t="shared" si="17"/>
        <v>4336.2</v>
      </c>
      <c r="H58" s="117">
        <f>'MT Per GW Emissions'!H19</f>
        <v>245.16696754996326</v>
      </c>
      <c r="I58" s="68">
        <v>290</v>
      </c>
      <c r="J58" s="68">
        <f t="shared" si="18"/>
        <v>308296971.36014372</v>
      </c>
      <c r="K58" s="68">
        <f t="shared" si="19"/>
        <v>233650574.7500641</v>
      </c>
      <c r="L58" s="74">
        <f>'MT Per GW Emissions'!J19</f>
        <v>0.14016020901561269</v>
      </c>
      <c r="M58" s="24">
        <v>22000</v>
      </c>
      <c r="N58" s="24">
        <f t="shared" si="20"/>
        <v>13370779.363336992</v>
      </c>
      <c r="O58" s="118">
        <f>'MT Per GW Emissions'!I19</f>
        <v>5.5338334951148045E-2</v>
      </c>
      <c r="P58" s="119">
        <v>61500</v>
      </c>
      <c r="Q58" s="24">
        <f t="shared" si="24"/>
        <v>14757422.412932839</v>
      </c>
      <c r="R58" s="25">
        <f t="shared" si="21"/>
        <v>28128201.776269831</v>
      </c>
      <c r="S58" s="24">
        <f t="shared" si="22"/>
        <v>18596055.0399509</v>
      </c>
      <c r="T58" s="45">
        <f t="shared" si="23"/>
        <v>252246629.79001501</v>
      </c>
    </row>
    <row r="59" spans="1:20" ht="15.5" x14ac:dyDescent="0.35">
      <c r="A59" s="3">
        <v>15</v>
      </c>
      <c r="B59" s="21">
        <v>2039</v>
      </c>
      <c r="C59" s="95">
        <f t="shared" si="25"/>
        <v>19</v>
      </c>
      <c r="D59" s="95">
        <v>15</v>
      </c>
      <c r="E59" s="95">
        <f t="shared" si="15"/>
        <v>285</v>
      </c>
      <c r="F59" s="95">
        <f t="shared" si="16"/>
        <v>1275</v>
      </c>
      <c r="G59" s="95">
        <f t="shared" si="17"/>
        <v>5584.5</v>
      </c>
      <c r="H59" s="117">
        <f>'MT Per GW Emissions'!H20</f>
        <v>245.16696754996326</v>
      </c>
      <c r="I59" s="68">
        <v>294</v>
      </c>
      <c r="J59" s="68">
        <f t="shared" si="18"/>
        <v>402525669.50313431</v>
      </c>
      <c r="K59" s="68">
        <f t="shared" si="19"/>
        <v>299082501.6393193</v>
      </c>
      <c r="L59" s="74">
        <f>'MT Per GW Emissions'!J20</f>
        <v>0.14016020901561269</v>
      </c>
      <c r="M59" s="24">
        <v>22000</v>
      </c>
      <c r="N59" s="24">
        <f t="shared" si="20"/>
        <v>17219943.119449161</v>
      </c>
      <c r="O59" s="118">
        <f>'MT Per GW Emissions'!I20</f>
        <v>5.5338334951148045E-2</v>
      </c>
      <c r="P59" s="119">
        <v>61500</v>
      </c>
      <c r="Q59" s="24">
        <f t="shared" si="24"/>
        <v>19005771.289383203</v>
      </c>
      <c r="R59" s="25">
        <f t="shared" si="21"/>
        <v>36225714.408832364</v>
      </c>
      <c r="S59" s="24">
        <f t="shared" si="22"/>
        <v>23251907.596290477</v>
      </c>
      <c r="T59" s="45">
        <f t="shared" si="23"/>
        <v>322334409.23560977</v>
      </c>
    </row>
    <row r="60" spans="1:20" ht="15.5" x14ac:dyDescent="0.35">
      <c r="A60" s="3">
        <v>16</v>
      </c>
      <c r="B60" s="21">
        <v>2040</v>
      </c>
      <c r="C60" s="95">
        <f t="shared" si="25"/>
        <v>20</v>
      </c>
      <c r="D60" s="95">
        <v>20</v>
      </c>
      <c r="E60" s="97">
        <f t="shared" si="15"/>
        <v>400</v>
      </c>
      <c r="F60" s="95">
        <f t="shared" si="16"/>
        <v>1675</v>
      </c>
      <c r="G60" s="95">
        <f t="shared" si="17"/>
        <v>7336.5</v>
      </c>
      <c r="H60" s="117">
        <f>'MT Per GW Emissions'!H21</f>
        <v>245.16696754996326</v>
      </c>
      <c r="I60" s="68">
        <v>299</v>
      </c>
      <c r="J60" s="68">
        <f t="shared" si="18"/>
        <v>537801569.77166128</v>
      </c>
      <c r="K60" s="68">
        <f t="shared" si="19"/>
        <v>391759302.10911047</v>
      </c>
      <c r="L60" s="74">
        <f>'MT Per GW Emissions'!J21</f>
        <v>0.14016020901561269</v>
      </c>
      <c r="M60" s="24">
        <v>22000</v>
      </c>
      <c r="N60" s="24">
        <f t="shared" si="20"/>
        <v>22622278.215746935</v>
      </c>
      <c r="O60" s="118">
        <f>'MT Per GW Emissions'!I21</f>
        <v>5.5338334951148045E-2</v>
      </c>
      <c r="P60" s="119">
        <v>61500</v>
      </c>
      <c r="Q60" s="24">
        <f t="shared" si="24"/>
        <v>24968366.203699503</v>
      </c>
      <c r="R60" s="25">
        <f t="shared" si="21"/>
        <v>47590644.419446439</v>
      </c>
      <c r="S60" s="24">
        <f t="shared" si="22"/>
        <v>29656916.218379255</v>
      </c>
      <c r="T60" s="45">
        <f t="shared" si="23"/>
        <v>421416218.32748973</v>
      </c>
    </row>
    <row r="61" spans="1:20" ht="15.5" x14ac:dyDescent="0.35">
      <c r="A61" s="3">
        <v>17</v>
      </c>
      <c r="B61" s="21">
        <v>2041</v>
      </c>
      <c r="C61" s="95">
        <f t="shared" si="25"/>
        <v>21</v>
      </c>
      <c r="D61" s="95">
        <v>20</v>
      </c>
      <c r="E61" s="95">
        <f t="shared" si="15"/>
        <v>420</v>
      </c>
      <c r="F61" s="95">
        <f t="shared" si="16"/>
        <v>2095</v>
      </c>
      <c r="G61" s="95">
        <f t="shared" si="17"/>
        <v>9176.1</v>
      </c>
      <c r="H61" s="117">
        <f>'MT Per GW Emissions'!H22</f>
        <v>245.16696754996326</v>
      </c>
      <c r="I61" s="68">
        <v>303</v>
      </c>
      <c r="J61" s="68">
        <f t="shared" si="18"/>
        <v>681652013.11337113</v>
      </c>
      <c r="K61" s="68">
        <f t="shared" si="19"/>
        <v>486810348.39442706</v>
      </c>
      <c r="L61" s="74">
        <f>'MT Per GW Emissions'!J22</f>
        <v>0.14016020901561269</v>
      </c>
      <c r="M61" s="24">
        <v>22000</v>
      </c>
      <c r="N61" s="24">
        <f t="shared" si="20"/>
        <v>28294730.066859599</v>
      </c>
      <c r="O61" s="118">
        <f>'MT Per GW Emissions'!I22</f>
        <v>5.5338334951148045E-2</v>
      </c>
      <c r="P61" s="119">
        <v>61500</v>
      </c>
      <c r="Q61" s="24">
        <f t="shared" si="24"/>
        <v>31229090.863731619</v>
      </c>
      <c r="R61" s="25">
        <f t="shared" si="21"/>
        <v>59523820.930591218</v>
      </c>
      <c r="S61" s="24">
        <f t="shared" si="22"/>
        <v>36012890.5825269</v>
      </c>
      <c r="T61" s="45">
        <f t="shared" si="23"/>
        <v>522823238.97695398</v>
      </c>
    </row>
    <row r="62" spans="1:20" ht="15.5" x14ac:dyDescent="0.35">
      <c r="A62" s="3">
        <v>18</v>
      </c>
      <c r="B62" s="21">
        <v>2042</v>
      </c>
      <c r="C62" s="95">
        <f t="shared" si="25"/>
        <v>22</v>
      </c>
      <c r="D62" s="95">
        <v>20</v>
      </c>
      <c r="E62" s="95">
        <f t="shared" si="15"/>
        <v>440</v>
      </c>
      <c r="F62" s="95">
        <f t="shared" si="16"/>
        <v>2535</v>
      </c>
      <c r="G62" s="95">
        <f t="shared" si="17"/>
        <v>11103.3</v>
      </c>
      <c r="H62" s="117">
        <f>'MT Per GW Emissions'!H23</f>
        <v>245.16696754996326</v>
      </c>
      <c r="I62" s="68">
        <v>308</v>
      </c>
      <c r="J62" s="68">
        <f t="shared" si="18"/>
        <v>838426016.36563218</v>
      </c>
      <c r="K62" s="68">
        <f t="shared" si="19"/>
        <v>587031835.57347846</v>
      </c>
      <c r="L62" s="74">
        <f>'MT Per GW Emissions'!J23</f>
        <v>0.14016020901561269</v>
      </c>
      <c r="M62" s="24">
        <v>22000</v>
      </c>
      <c r="N62" s="24">
        <f t="shared" si="20"/>
        <v>34237298.672787152</v>
      </c>
      <c r="O62" s="118">
        <f>'MT Per GW Emissions'!I23</f>
        <v>5.5338334951148045E-2</v>
      </c>
      <c r="P62" s="119">
        <v>61500</v>
      </c>
      <c r="Q62" s="24">
        <f t="shared" si="24"/>
        <v>37787945.26947955</v>
      </c>
      <c r="R62" s="25">
        <f t="shared" si="21"/>
        <v>72025243.942266703</v>
      </c>
      <c r="S62" s="24">
        <f t="shared" si="22"/>
        <v>42307239.903934792</v>
      </c>
      <c r="T62" s="45">
        <f t="shared" si="23"/>
        <v>629339075.4774133</v>
      </c>
    </row>
    <row r="63" spans="1:20" ht="15.5" x14ac:dyDescent="0.35">
      <c r="A63" s="3">
        <v>19</v>
      </c>
      <c r="B63" s="21">
        <v>2043</v>
      </c>
      <c r="C63" s="95">
        <f t="shared" si="25"/>
        <v>23</v>
      </c>
      <c r="D63" s="95">
        <v>20</v>
      </c>
      <c r="E63" s="95">
        <f t="shared" si="15"/>
        <v>460</v>
      </c>
      <c r="F63" s="95">
        <f t="shared" si="16"/>
        <v>2995</v>
      </c>
      <c r="G63" s="95">
        <f t="shared" si="17"/>
        <v>13118.1</v>
      </c>
      <c r="H63" s="117">
        <f>'MT Per GW Emissions'!H24</f>
        <v>245.16696754996326</v>
      </c>
      <c r="I63" s="68">
        <v>312</v>
      </c>
      <c r="J63" s="68">
        <f t="shared" si="18"/>
        <v>1003430936.6693579</v>
      </c>
      <c r="K63" s="68">
        <f t="shared" si="19"/>
        <v>688785860.23488975</v>
      </c>
      <c r="L63" s="74">
        <f>'MT Per GW Emissions'!J24</f>
        <v>0.14016020901561269</v>
      </c>
      <c r="M63" s="24">
        <v>22000</v>
      </c>
      <c r="N63" s="24">
        <f t="shared" si="20"/>
        <v>40449984.033529595</v>
      </c>
      <c r="O63" s="118">
        <f>'MT Per GW Emissions'!I24</f>
        <v>5.5338334951148045E-2</v>
      </c>
      <c r="P63" s="119">
        <v>61500</v>
      </c>
      <c r="Q63" s="24">
        <f t="shared" si="24"/>
        <v>44644929.42094329</v>
      </c>
      <c r="R63" s="25">
        <f t="shared" si="21"/>
        <v>85094913.454472885</v>
      </c>
      <c r="S63" s="24">
        <f t="shared" si="22"/>
        <v>48528440.095855959</v>
      </c>
      <c r="T63" s="45">
        <f t="shared" ref="T63:T74" si="26">K63+S63</f>
        <v>737314300.3307457</v>
      </c>
    </row>
    <row r="64" spans="1:20" ht="15.5" x14ac:dyDescent="0.35">
      <c r="A64" s="57">
        <v>20</v>
      </c>
      <c r="B64" s="21">
        <v>2044</v>
      </c>
      <c r="C64" s="95">
        <f t="shared" si="25"/>
        <v>24</v>
      </c>
      <c r="D64" s="95">
        <v>20</v>
      </c>
      <c r="E64" s="95">
        <f t="shared" si="15"/>
        <v>480</v>
      </c>
      <c r="F64" s="95">
        <f t="shared" si="16"/>
        <v>3475</v>
      </c>
      <c r="G64" s="95">
        <f t="shared" si="17"/>
        <v>15220.5</v>
      </c>
      <c r="H64" s="117">
        <f>'MT Per GW Emissions'!H25</f>
        <v>245.16696754996326</v>
      </c>
      <c r="I64" s="68">
        <v>317</v>
      </c>
      <c r="J64" s="68">
        <f t="shared" si="18"/>
        <v>1182905733.9813664</v>
      </c>
      <c r="K64" s="68">
        <f t="shared" si="19"/>
        <v>796061648.73860562</v>
      </c>
      <c r="L64" s="74">
        <f>'MT Per GW Emissions'!J25</f>
        <v>0.14016020901561269</v>
      </c>
      <c r="M64" s="24">
        <v>22000</v>
      </c>
      <c r="N64" s="24">
        <f t="shared" si="20"/>
        <v>46932786.14908693</v>
      </c>
      <c r="O64" s="118">
        <f>'MT Per GW Emissions'!I25</f>
        <v>5.5338334951148045E-2</v>
      </c>
      <c r="P64" s="119">
        <v>61500</v>
      </c>
      <c r="Q64" s="24">
        <f t="shared" si="24"/>
        <v>51800043.318122856</v>
      </c>
      <c r="R64" s="25">
        <f t="shared" si="21"/>
        <v>98732829.467209786</v>
      </c>
      <c r="S64" s="24">
        <f t="shared" si="22"/>
        <v>54665973.818208173</v>
      </c>
      <c r="T64" s="45">
        <f t="shared" si="26"/>
        <v>850727622.55681384</v>
      </c>
    </row>
    <row r="65" spans="1:23" ht="15.5" x14ac:dyDescent="0.35">
      <c r="A65" s="57">
        <v>21</v>
      </c>
      <c r="B65" s="21">
        <v>2045</v>
      </c>
      <c r="C65" s="95">
        <v>24</v>
      </c>
      <c r="D65" s="95">
        <v>20</v>
      </c>
      <c r="E65" s="97">
        <f t="shared" si="15"/>
        <v>480</v>
      </c>
      <c r="F65" s="95">
        <f t="shared" si="16"/>
        <v>3955</v>
      </c>
      <c r="G65" s="95">
        <f t="shared" si="17"/>
        <v>17322.900000000001</v>
      </c>
      <c r="H65" s="117">
        <f>'MT Per GW Emissions'!H26</f>
        <v>245.16696754996326</v>
      </c>
      <c r="I65" s="68">
        <v>321</v>
      </c>
      <c r="J65" s="68">
        <f t="shared" si="18"/>
        <v>1363287918.756974</v>
      </c>
      <c r="K65" s="68">
        <f t="shared" si="19"/>
        <v>899464400.09410822</v>
      </c>
      <c r="L65" s="74">
        <f>'MT Per GW Emissions'!J26</f>
        <v>0.14016020901561269</v>
      </c>
      <c r="M65" s="24">
        <v>22000</v>
      </c>
      <c r="N65" s="24">
        <f t="shared" si="20"/>
        <v>53415588.264644258</v>
      </c>
      <c r="O65" s="118">
        <f>'MT Per GW Emissions'!I26</f>
        <v>5.5338334951148045E-2</v>
      </c>
      <c r="P65" s="119">
        <v>61500</v>
      </c>
      <c r="Q65" s="24">
        <f t="shared" si="24"/>
        <v>58955157.215302415</v>
      </c>
      <c r="R65" s="25">
        <f t="shared" si="21"/>
        <v>112370745.47994667</v>
      </c>
      <c r="S65" s="24">
        <f t="shared" si="22"/>
        <v>60404812.866106965</v>
      </c>
      <c r="T65" s="45">
        <f t="shared" si="26"/>
        <v>959869212.96021521</v>
      </c>
    </row>
    <row r="66" spans="1:23" ht="15.5" x14ac:dyDescent="0.35">
      <c r="A66" s="57">
        <v>22</v>
      </c>
      <c r="B66" s="21">
        <v>2046</v>
      </c>
      <c r="C66" s="95">
        <f>C65+1</f>
        <v>25</v>
      </c>
      <c r="D66" s="95">
        <v>20</v>
      </c>
      <c r="E66" s="95">
        <f t="shared" si="15"/>
        <v>500</v>
      </c>
      <c r="F66" s="95">
        <f t="shared" si="16"/>
        <v>4455</v>
      </c>
      <c r="G66" s="95">
        <f t="shared" si="17"/>
        <v>19512.900000000001</v>
      </c>
      <c r="H66" s="117">
        <f>'MT Per GW Emissions'!H27</f>
        <v>245.16696754996326</v>
      </c>
      <c r="I66" s="68">
        <v>326</v>
      </c>
      <c r="J66" s="68">
        <f t="shared" si="18"/>
        <v>1559557437.8804512</v>
      </c>
      <c r="K66" s="68">
        <f t="shared" si="19"/>
        <v>1008782629.7856538</v>
      </c>
      <c r="L66" s="74">
        <f>'MT Per GW Emissions'!J27</f>
        <v>0.14016020901561269</v>
      </c>
      <c r="M66" s="24">
        <v>22000</v>
      </c>
      <c r="N66" s="24">
        <f t="shared" si="20"/>
        <v>60168507.135016471</v>
      </c>
      <c r="O66" s="118">
        <f>'MT Per GW Emissions'!I27</f>
        <v>5.5338334951148045E-2</v>
      </c>
      <c r="P66" s="119">
        <v>61500</v>
      </c>
      <c r="Q66" s="24">
        <f t="shared" si="24"/>
        <v>66408400.858197786</v>
      </c>
      <c r="R66" s="25">
        <f t="shared" si="21"/>
        <v>126576907.99321425</v>
      </c>
      <c r="S66" s="24">
        <f t="shared" si="22"/>
        <v>66059539.066563517</v>
      </c>
      <c r="T66" s="45">
        <f t="shared" si="26"/>
        <v>1074842168.8522174</v>
      </c>
    </row>
    <row r="67" spans="1:23" ht="15.5" x14ac:dyDescent="0.35">
      <c r="A67" s="57">
        <v>23</v>
      </c>
      <c r="B67" s="21">
        <v>2047</v>
      </c>
      <c r="C67" s="94">
        <f t="shared" si="25"/>
        <v>26</v>
      </c>
      <c r="D67" s="95">
        <v>20</v>
      </c>
      <c r="E67" s="95">
        <f t="shared" si="15"/>
        <v>520</v>
      </c>
      <c r="F67" s="95">
        <f t="shared" si="16"/>
        <v>4975</v>
      </c>
      <c r="G67" s="95">
        <f t="shared" si="17"/>
        <v>21790.5</v>
      </c>
      <c r="H67" s="117">
        <f>'MT Per GW Emissions'!H28</f>
        <v>245.16696754996326</v>
      </c>
      <c r="I67" s="68">
        <v>331</v>
      </c>
      <c r="J67" s="68">
        <f t="shared" si="18"/>
        <v>1768304876.9175639</v>
      </c>
      <c r="K67" s="68">
        <f t="shared" si="19"/>
        <v>1121381001.9908381</v>
      </c>
      <c r="L67" s="74">
        <f>'MT Per GW Emissions'!J28</f>
        <v>0.14016020901561269</v>
      </c>
      <c r="M67" s="24">
        <v>22000</v>
      </c>
      <c r="N67" s="24">
        <f t="shared" si="20"/>
        <v>67191542.760203585</v>
      </c>
      <c r="O67" s="118">
        <f>'MT Per GW Emissions'!I28</f>
        <v>5.5338334951148045E-2</v>
      </c>
      <c r="P67" s="119">
        <v>61500</v>
      </c>
      <c r="Q67" s="24">
        <f t="shared" si="24"/>
        <v>74159774.246808976</v>
      </c>
      <c r="R67" s="25">
        <f t="shared" si="21"/>
        <v>141351317.00701255</v>
      </c>
      <c r="S67" s="24">
        <f t="shared" si="22"/>
        <v>71621545.95712322</v>
      </c>
      <c r="T67" s="45">
        <f t="shared" si="26"/>
        <v>1193002547.9479613</v>
      </c>
    </row>
    <row r="68" spans="1:23" ht="15.5" x14ac:dyDescent="0.35">
      <c r="A68" s="57">
        <v>24</v>
      </c>
      <c r="B68" s="21">
        <v>2049</v>
      </c>
      <c r="C68" s="95">
        <f t="shared" si="25"/>
        <v>27</v>
      </c>
      <c r="D68" s="95">
        <v>20</v>
      </c>
      <c r="E68" s="95">
        <f t="shared" si="15"/>
        <v>540</v>
      </c>
      <c r="F68" s="95">
        <f t="shared" si="16"/>
        <v>5515</v>
      </c>
      <c r="G68" s="95">
        <f t="shared" si="17"/>
        <v>24155.7</v>
      </c>
      <c r="H68" s="117">
        <f>'MT Per GW Emissions'!H29</f>
        <v>245.16696754996326</v>
      </c>
      <c r="I68" s="68">
        <v>336</v>
      </c>
      <c r="J68" s="68">
        <f t="shared" si="18"/>
        <v>1989852385.2636735</v>
      </c>
      <c r="K68" s="68">
        <f t="shared" si="19"/>
        <v>1237133985.7447908</v>
      </c>
      <c r="L68" s="74">
        <f>'MT Per GW Emissions'!J29</f>
        <v>0.14016020901561269</v>
      </c>
      <c r="M68" s="24">
        <v>22000</v>
      </c>
      <c r="N68" s="24">
        <f t="shared" si="20"/>
        <v>74484695.140205577</v>
      </c>
      <c r="O68" s="118">
        <f>'MT Per GW Emissions'!I29</f>
        <v>5.5338334951148045E-2</v>
      </c>
      <c r="P68" s="119">
        <v>61500</v>
      </c>
      <c r="Q68" s="24">
        <f t="shared" si="24"/>
        <v>82209277.381135985</v>
      </c>
      <c r="R68" s="25">
        <f t="shared" si="21"/>
        <v>156693972.52134156</v>
      </c>
      <c r="S68" s="24">
        <f t="shared" si="22"/>
        <v>77083051.364303976</v>
      </c>
      <c r="T68" s="45">
        <f t="shared" si="26"/>
        <v>1314217037.1090949</v>
      </c>
    </row>
    <row r="69" spans="1:23" ht="15.5" x14ac:dyDescent="0.35">
      <c r="A69" s="57">
        <v>25</v>
      </c>
      <c r="B69" s="21">
        <v>2050</v>
      </c>
      <c r="C69" s="95">
        <f t="shared" si="25"/>
        <v>28</v>
      </c>
      <c r="D69" s="98">
        <v>20</v>
      </c>
      <c r="E69" s="95">
        <f t="shared" si="15"/>
        <v>560</v>
      </c>
      <c r="F69" s="99">
        <f t="shared" si="16"/>
        <v>6075</v>
      </c>
      <c r="G69" s="95">
        <f t="shared" si="17"/>
        <v>26608.5</v>
      </c>
      <c r="H69" s="117">
        <f>'MT Per GW Emissions'!H30</f>
        <v>245.16696754996326</v>
      </c>
      <c r="I69" s="68">
        <v>340</v>
      </c>
      <c r="J69" s="68">
        <f t="shared" si="18"/>
        <v>2217998587.0580869</v>
      </c>
      <c r="K69" s="68">
        <f t="shared" si="19"/>
        <v>1351938609.6000092</v>
      </c>
      <c r="L69" s="74">
        <f>'MT Per GW Emissions'!J30</f>
        <v>0.14016020901561269</v>
      </c>
      <c r="M69" s="24">
        <v>22000</v>
      </c>
      <c r="N69" s="24">
        <f t="shared" si="20"/>
        <v>82047964.275022462</v>
      </c>
      <c r="O69" s="118">
        <f>'MT Per GW Emissions'!I30</f>
        <v>5.5338334951148045E-2</v>
      </c>
      <c r="P69" s="119">
        <v>61500</v>
      </c>
      <c r="Q69" s="24">
        <f t="shared" si="24"/>
        <v>90556910.261178806</v>
      </c>
      <c r="R69" s="25">
        <f t="shared" si="21"/>
        <v>172604874.53620127</v>
      </c>
      <c r="S69" s="24">
        <f t="shared" si="22"/>
        <v>82437049.360199749</v>
      </c>
      <c r="T69" s="45">
        <f t="shared" si="26"/>
        <v>1434375658.9602089</v>
      </c>
    </row>
    <row r="70" spans="1:23" ht="15.5" x14ac:dyDescent="0.35">
      <c r="A70" s="57">
        <v>26</v>
      </c>
      <c r="B70" s="21">
        <v>2051</v>
      </c>
      <c r="C70" s="95">
        <v>28</v>
      </c>
      <c r="D70" s="98">
        <v>20</v>
      </c>
      <c r="E70" s="95">
        <f t="shared" si="15"/>
        <v>560</v>
      </c>
      <c r="F70" s="99">
        <f t="shared" si="16"/>
        <v>6635</v>
      </c>
      <c r="G70" s="95">
        <f t="shared" si="17"/>
        <v>29061.3</v>
      </c>
      <c r="H70" s="117">
        <f>'MT Per GW Emissions'!H31</f>
        <v>245.16696754996326</v>
      </c>
      <c r="I70" s="68">
        <v>340</v>
      </c>
      <c r="J70" s="68">
        <f t="shared" si="18"/>
        <v>2422456069.9803138</v>
      </c>
      <c r="K70" s="68">
        <f t="shared" ref="K70:K74" si="27">J70/(1+0.02)^A70</f>
        <v>1447609565.8349166</v>
      </c>
      <c r="L70" s="74">
        <f>'MT Per GW Emissions'!J31</f>
        <v>0.14016020901561269</v>
      </c>
      <c r="M70" s="24">
        <v>22000</v>
      </c>
      <c r="N70" s="24">
        <f t="shared" ref="N70:N74" si="28">G70*L70*M70</f>
        <v>89611233.409839347</v>
      </c>
      <c r="O70" s="118">
        <f>'MT Per GW Emissions'!I31</f>
        <v>5.5338334951148045E-2</v>
      </c>
      <c r="P70" s="119">
        <v>61500</v>
      </c>
      <c r="Q70" s="24">
        <f t="shared" si="24"/>
        <v>98904543.141221628</v>
      </c>
      <c r="R70" s="25">
        <f t="shared" si="21"/>
        <v>188515776.55106097</v>
      </c>
      <c r="S70" s="24">
        <f t="shared" ref="S70:S74" si="29">R70/(1+0.03)^A70</f>
        <v>87413771.625702232</v>
      </c>
      <c r="T70" s="45">
        <f t="shared" si="26"/>
        <v>1535023337.4606187</v>
      </c>
    </row>
    <row r="71" spans="1:23" ht="15.5" x14ac:dyDescent="0.35">
      <c r="A71" s="57">
        <v>27</v>
      </c>
      <c r="B71" s="21">
        <v>2052</v>
      </c>
      <c r="C71" s="95">
        <v>28</v>
      </c>
      <c r="D71" s="98">
        <v>20</v>
      </c>
      <c r="E71" s="95">
        <f t="shared" si="15"/>
        <v>560</v>
      </c>
      <c r="F71" s="99">
        <f t="shared" si="16"/>
        <v>7195</v>
      </c>
      <c r="G71" s="95">
        <f t="shared" si="17"/>
        <v>31514.1</v>
      </c>
      <c r="H71" s="117">
        <v>245</v>
      </c>
      <c r="I71" s="68">
        <v>340</v>
      </c>
      <c r="J71" s="68">
        <f t="shared" si="18"/>
        <v>2625124530</v>
      </c>
      <c r="K71" s="68">
        <f t="shared" si="27"/>
        <v>1537960822.7758942</v>
      </c>
      <c r="L71" s="74">
        <v>0.14016020900000001</v>
      </c>
      <c r="M71" s="24">
        <v>22000</v>
      </c>
      <c r="N71" s="24">
        <f t="shared" si="28"/>
        <v>97174502.53383179</v>
      </c>
      <c r="O71" s="118">
        <v>5.5338335000000002E-2</v>
      </c>
      <c r="P71" s="119">
        <v>61500</v>
      </c>
      <c r="Q71" s="24">
        <f t="shared" si="24"/>
        <v>107252176.11594525</v>
      </c>
      <c r="R71" s="25">
        <f t="shared" si="21"/>
        <v>204426678.64977705</v>
      </c>
      <c r="S71" s="24">
        <f t="shared" si="29"/>
        <v>92030653.434628278</v>
      </c>
      <c r="T71" s="45">
        <f t="shared" si="26"/>
        <v>1629991476.2105224</v>
      </c>
    </row>
    <row r="72" spans="1:23" ht="15.5" x14ac:dyDescent="0.35">
      <c r="A72" s="57">
        <v>28</v>
      </c>
      <c r="B72" s="21">
        <v>2053</v>
      </c>
      <c r="C72" s="95">
        <v>28</v>
      </c>
      <c r="D72" s="98">
        <v>20</v>
      </c>
      <c r="E72" s="95">
        <f t="shared" si="15"/>
        <v>560</v>
      </c>
      <c r="F72" s="99">
        <f t="shared" si="16"/>
        <v>7755</v>
      </c>
      <c r="G72" s="95">
        <f t="shared" si="17"/>
        <v>33966.9</v>
      </c>
      <c r="H72" s="117">
        <v>245</v>
      </c>
      <c r="I72" s="68">
        <v>340</v>
      </c>
      <c r="J72" s="68">
        <f t="shared" si="18"/>
        <v>2829442770</v>
      </c>
      <c r="K72" s="68">
        <f t="shared" si="27"/>
        <v>1625159925.9598927</v>
      </c>
      <c r="L72" s="74">
        <v>0.14016020900000001</v>
      </c>
      <c r="M72" s="24">
        <v>22000</v>
      </c>
      <c r="N72" s="24">
        <f t="shared" si="28"/>
        <v>104737771.66780621</v>
      </c>
      <c r="O72" s="118">
        <v>5.5338335000000002E-2</v>
      </c>
      <c r="P72" s="119">
        <v>61500</v>
      </c>
      <c r="Q72" s="24">
        <f t="shared" si="24"/>
        <v>115599809.00335726</v>
      </c>
      <c r="R72" s="25">
        <f t="shared" si="21"/>
        <v>220337580.67116347</v>
      </c>
      <c r="S72" s="24">
        <f t="shared" si="29"/>
        <v>96304434.36117886</v>
      </c>
      <c r="T72" s="45">
        <f t="shared" si="26"/>
        <v>1721464360.3210716</v>
      </c>
    </row>
    <row r="73" spans="1:23" ht="15.5" x14ac:dyDescent="0.35">
      <c r="A73" s="57">
        <v>29</v>
      </c>
      <c r="B73" s="21">
        <v>2054</v>
      </c>
      <c r="C73" s="95">
        <v>28</v>
      </c>
      <c r="D73" s="98">
        <v>20</v>
      </c>
      <c r="E73" s="95">
        <f t="shared" si="15"/>
        <v>560</v>
      </c>
      <c r="F73" s="99">
        <f t="shared" si="16"/>
        <v>8315</v>
      </c>
      <c r="G73" s="95">
        <f t="shared" si="17"/>
        <v>36419.699999999997</v>
      </c>
      <c r="H73" s="117">
        <v>245</v>
      </c>
      <c r="I73" s="68">
        <v>340</v>
      </c>
      <c r="J73" s="68">
        <f t="shared" si="18"/>
        <v>3033761010</v>
      </c>
      <c r="K73" s="68">
        <f t="shared" si="27"/>
        <v>1708348160.4981618</v>
      </c>
      <c r="L73" s="74">
        <v>0.14016020900000001</v>
      </c>
      <c r="M73" s="24">
        <v>22000</v>
      </c>
      <c r="N73" s="24">
        <f t="shared" si="28"/>
        <v>112301040.8017806</v>
      </c>
      <c r="O73" s="118">
        <v>5.5338335000000002E-2</v>
      </c>
      <c r="P73" s="119">
        <v>61500</v>
      </c>
      <c r="Q73" s="24">
        <f t="shared" si="24"/>
        <v>123947441.89076924</v>
      </c>
      <c r="R73" s="25">
        <f t="shared" si="21"/>
        <v>236248482.69254982</v>
      </c>
      <c r="S73" s="24">
        <f t="shared" si="29"/>
        <v>100251184.22980502</v>
      </c>
      <c r="T73" s="45">
        <f t="shared" si="26"/>
        <v>1808599344.7279668</v>
      </c>
    </row>
    <row r="74" spans="1:23" ht="15.5" x14ac:dyDescent="0.35">
      <c r="A74" s="4">
        <v>30</v>
      </c>
      <c r="B74" s="21">
        <v>2055</v>
      </c>
      <c r="C74" s="95">
        <v>28</v>
      </c>
      <c r="D74" s="98">
        <v>20</v>
      </c>
      <c r="E74" s="95">
        <f t="shared" si="15"/>
        <v>560</v>
      </c>
      <c r="F74" s="99">
        <f t="shared" si="16"/>
        <v>8875</v>
      </c>
      <c r="G74" s="95">
        <f t="shared" si="17"/>
        <v>38872.5</v>
      </c>
      <c r="H74" s="117">
        <v>245</v>
      </c>
      <c r="I74" s="68">
        <v>340</v>
      </c>
      <c r="J74" s="68">
        <f t="shared" si="18"/>
        <v>3238079250</v>
      </c>
      <c r="K74" s="68">
        <f t="shared" si="27"/>
        <v>1787649290.1349068</v>
      </c>
      <c r="L74" s="74">
        <v>0.14016020900000001</v>
      </c>
      <c r="M74" s="24">
        <v>22000</v>
      </c>
      <c r="N74" s="24">
        <f t="shared" si="28"/>
        <v>119864309.935755</v>
      </c>
      <c r="O74" s="118">
        <v>5.5338335000000002E-2</v>
      </c>
      <c r="P74" s="119">
        <v>61500</v>
      </c>
      <c r="Q74" s="24">
        <f t="shared" si="24"/>
        <v>132295074.77818125</v>
      </c>
      <c r="R74" s="25">
        <f t="shared" si="21"/>
        <v>252159384.71393627</v>
      </c>
      <c r="S74" s="24">
        <f t="shared" si="29"/>
        <v>103886327.78981951</v>
      </c>
      <c r="T74" s="45">
        <f t="shared" si="26"/>
        <v>1891535617.9247262</v>
      </c>
      <c r="U74" s="184" t="s">
        <v>67</v>
      </c>
      <c r="V74" s="184" t="s">
        <v>119</v>
      </c>
      <c r="W74" s="184" t="s">
        <v>66</v>
      </c>
    </row>
    <row r="75" spans="1:23" x14ac:dyDescent="0.3">
      <c r="A75" s="26" t="s">
        <v>13</v>
      </c>
      <c r="B75" s="26"/>
      <c r="C75" s="26"/>
      <c r="D75" s="26"/>
      <c r="E75" s="26"/>
      <c r="F75" s="26"/>
      <c r="G75" s="26"/>
      <c r="H75" s="27"/>
      <c r="I75" s="28"/>
      <c r="J75" s="28"/>
      <c r="K75" s="28">
        <f>SUM(K55:K74)</f>
        <v>17545193445.230797</v>
      </c>
      <c r="L75" s="75"/>
      <c r="M75" s="28"/>
      <c r="N75" s="28">
        <f>SUM(N55:N74)</f>
        <v>1083168186.7593513</v>
      </c>
      <c r="O75" s="75"/>
      <c r="P75" s="75"/>
      <c r="Q75" s="28">
        <f>SUM(Q55:Q74)</f>
        <v>1195500280.7433565</v>
      </c>
      <c r="R75" s="28">
        <f t="shared" si="21"/>
        <v>2278668467.5027075</v>
      </c>
      <c r="S75" s="28">
        <f>SUM(S47:S74)</f>
        <v>1118326646.8144896</v>
      </c>
      <c r="T75" s="28">
        <f>SUM(T55:T74)</f>
        <v>18663520092.045284</v>
      </c>
      <c r="U75" s="185">
        <f>N75/(1+0.03)^A74</f>
        <v>446250951.27370578</v>
      </c>
      <c r="V75" s="185">
        <f>K39-K75</f>
        <v>6879237055.5081558</v>
      </c>
      <c r="W75" s="185">
        <f>Q75/(1+0.03)^A74</f>
        <v>492530286.6638124</v>
      </c>
    </row>
    <row r="76" spans="1:23" ht="26" customHeight="1" x14ac:dyDescent="0.3">
      <c r="R76" s="212" t="s">
        <v>37</v>
      </c>
      <c r="S76" s="212"/>
      <c r="T76" s="128">
        <f>T39-T75</f>
        <v>7377764675.8552055</v>
      </c>
    </row>
    <row r="77" spans="1:23" x14ac:dyDescent="0.3">
      <c r="T77" s="183">
        <f>SUM(T55:T74)</f>
        <v>18663520092.045284</v>
      </c>
      <c r="U77" s="186"/>
      <c r="V77" s="186"/>
      <c r="W77" s="186"/>
    </row>
  </sheetData>
  <mergeCells count="5">
    <mergeCell ref="A1:T1"/>
    <mergeCell ref="A2:T2"/>
    <mergeCell ref="A42:T42"/>
    <mergeCell ref="A43:T43"/>
    <mergeCell ref="R76:S7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8D244-473A-46FA-BFCB-9B2AA6931FEA}">
  <dimension ref="A1:G7"/>
  <sheetViews>
    <sheetView workbookViewId="0">
      <selection activeCell="G10" sqref="G10"/>
    </sheetView>
  </sheetViews>
  <sheetFormatPr defaultRowHeight="14" x14ac:dyDescent="0.3"/>
  <cols>
    <col min="1" max="1" width="5.9296875" style="8" customWidth="1"/>
    <col min="2" max="2" width="6.46484375" style="8" customWidth="1"/>
    <col min="3" max="3" width="11.265625" style="70" bestFit="1" customWidth="1"/>
    <col min="4" max="4" width="15.33203125" style="76" customWidth="1"/>
    <col min="5" max="5" width="11.59765625" style="8" customWidth="1"/>
    <col min="6" max="6" width="16.73046875" style="8" customWidth="1"/>
    <col min="7" max="7" width="11.796875" style="8" customWidth="1"/>
    <col min="8" max="16384" width="9.06640625" style="8"/>
  </cols>
  <sheetData>
    <row r="1" spans="1:7" ht="19" customHeight="1" x14ac:dyDescent="0.3">
      <c r="A1" s="213" t="s">
        <v>22</v>
      </c>
      <c r="B1" s="213"/>
      <c r="C1" s="213"/>
      <c r="D1" s="213"/>
      <c r="E1" s="213"/>
      <c r="F1" s="213"/>
      <c r="G1" s="213"/>
    </row>
    <row r="2" spans="1:7" ht="19" customHeight="1" x14ac:dyDescent="0.3">
      <c r="A2" s="214" t="s">
        <v>112</v>
      </c>
      <c r="B2" s="215"/>
      <c r="C2" s="215"/>
      <c r="D2" s="215"/>
      <c r="E2" s="215"/>
      <c r="F2" s="215"/>
      <c r="G2" s="215"/>
    </row>
    <row r="3" spans="1:7" x14ac:dyDescent="0.3">
      <c r="A3" s="164"/>
      <c r="B3" s="168" t="s">
        <v>117</v>
      </c>
      <c r="C3" s="169" t="s">
        <v>113</v>
      </c>
      <c r="D3" s="170" t="s">
        <v>114</v>
      </c>
      <c r="E3" s="171" t="s">
        <v>115</v>
      </c>
      <c r="F3" s="171" t="s">
        <v>116</v>
      </c>
      <c r="G3" s="171" t="s">
        <v>112</v>
      </c>
    </row>
    <row r="4" spans="1:7" x14ac:dyDescent="0.3">
      <c r="A4" s="165"/>
      <c r="B4" s="163" t="s">
        <v>109</v>
      </c>
      <c r="C4" s="159">
        <v>170000000</v>
      </c>
      <c r="D4" s="167">
        <v>30</v>
      </c>
      <c r="E4" s="160">
        <f>C4/D4</f>
        <v>5666666.666666667</v>
      </c>
      <c r="F4" s="160">
        <f>E4*30</f>
        <v>170000000</v>
      </c>
      <c r="G4" s="160">
        <f>F4-C4</f>
        <v>0</v>
      </c>
    </row>
    <row r="5" spans="1:7" x14ac:dyDescent="0.3">
      <c r="A5" s="165"/>
      <c r="B5" s="163"/>
      <c r="C5" s="159"/>
      <c r="D5" s="167"/>
      <c r="E5" s="158"/>
      <c r="F5" s="158"/>
      <c r="G5" s="158"/>
    </row>
    <row r="6" spans="1:7" x14ac:dyDescent="0.3">
      <c r="A6" s="165"/>
      <c r="B6" s="163" t="s">
        <v>110</v>
      </c>
      <c r="C6" s="159">
        <v>590000000</v>
      </c>
      <c r="D6" s="167">
        <v>50</v>
      </c>
      <c r="E6" s="160">
        <f>C6/D6</f>
        <v>11800000</v>
      </c>
      <c r="F6" s="160">
        <f>E6*30</f>
        <v>354000000</v>
      </c>
      <c r="G6" s="160">
        <f>C6-F6</f>
        <v>236000000</v>
      </c>
    </row>
    <row r="7" spans="1:7" x14ac:dyDescent="0.3">
      <c r="A7" s="166"/>
      <c r="B7" s="163"/>
      <c r="C7" s="159"/>
      <c r="D7" s="167"/>
      <c r="E7" s="158"/>
      <c r="F7" s="161" t="s">
        <v>111</v>
      </c>
      <c r="G7" s="162">
        <f>SUM(G4:G6)</f>
        <v>236000000</v>
      </c>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E3D91-DC98-4F23-BF53-FF00F1831261}">
  <dimension ref="A1:K31"/>
  <sheetViews>
    <sheetView topLeftCell="A16" workbookViewId="0">
      <selection activeCell="C38" sqref="C38"/>
    </sheetView>
  </sheetViews>
  <sheetFormatPr defaultRowHeight="15" x14ac:dyDescent="0.3"/>
  <sheetData>
    <row r="1" spans="1:11" x14ac:dyDescent="0.3">
      <c r="A1" s="91" t="s">
        <v>7</v>
      </c>
      <c r="B1" s="100" t="s">
        <v>65</v>
      </c>
      <c r="C1" s="91" t="s">
        <v>66</v>
      </c>
      <c r="D1" s="100" t="s">
        <v>67</v>
      </c>
      <c r="E1" s="101" t="s">
        <v>68</v>
      </c>
      <c r="F1" s="102"/>
      <c r="G1" s="91" t="s">
        <v>7</v>
      </c>
      <c r="H1" s="100" t="s">
        <v>69</v>
      </c>
      <c r="I1" s="100" t="s">
        <v>66</v>
      </c>
      <c r="J1" s="100" t="s">
        <v>67</v>
      </c>
      <c r="K1" s="100" t="s">
        <v>68</v>
      </c>
    </row>
    <row r="2" spans="1:11" x14ac:dyDescent="0.3">
      <c r="A2" s="93"/>
      <c r="B2" s="96" t="s">
        <v>70</v>
      </c>
      <c r="C2" s="93" t="s">
        <v>70</v>
      </c>
      <c r="D2" s="96" t="s">
        <v>70</v>
      </c>
      <c r="E2" s="103" t="s">
        <v>70</v>
      </c>
      <c r="F2" s="102"/>
      <c r="G2" s="93"/>
      <c r="H2" s="96" t="s">
        <v>71</v>
      </c>
      <c r="I2" s="96" t="s">
        <v>71</v>
      </c>
      <c r="J2" s="96" t="s">
        <v>71</v>
      </c>
      <c r="K2" s="96" t="s">
        <v>71</v>
      </c>
    </row>
    <row r="3" spans="1:11" x14ac:dyDescent="0.3">
      <c r="A3" s="91">
        <v>2022</v>
      </c>
      <c r="B3" s="137">
        <v>540.5</v>
      </c>
      <c r="C3" s="104">
        <v>0.122</v>
      </c>
      <c r="D3" s="104">
        <v>0.309</v>
      </c>
      <c r="E3" s="104">
        <v>0.28299999999999997</v>
      </c>
      <c r="F3" s="102"/>
      <c r="G3" s="91">
        <v>2022</v>
      </c>
      <c r="H3" s="105">
        <f t="shared" ref="H3:H31" si="0">B3*1000/2204.62</f>
        <v>245.16696754996326</v>
      </c>
      <c r="I3" s="104">
        <f t="shared" ref="I3:I31" si="1">C3*1000/2204.62</f>
        <v>5.5338334951148045E-2</v>
      </c>
      <c r="J3" s="104">
        <f t="shared" ref="J3:J31" si="2">D3*1000/2204.62</f>
        <v>0.14016020901561269</v>
      </c>
      <c r="K3" s="104">
        <f t="shared" ref="K3:K31" si="3">E3*1000/2204.62</f>
        <v>0.12836679337028603</v>
      </c>
    </row>
    <row r="4" spans="1:11" x14ac:dyDescent="0.3">
      <c r="A4" s="92">
        <v>2023</v>
      </c>
      <c r="B4" s="106">
        <v>540.5</v>
      </c>
      <c r="C4" s="107">
        <v>0.122</v>
      </c>
      <c r="D4" s="104">
        <v>0.309</v>
      </c>
      <c r="E4" s="104">
        <v>0.28299999999999997</v>
      </c>
      <c r="F4" s="102"/>
      <c r="G4" s="92">
        <v>2023</v>
      </c>
      <c r="H4" s="108">
        <f t="shared" si="0"/>
        <v>245.16696754996326</v>
      </c>
      <c r="I4" s="107">
        <f t="shared" si="1"/>
        <v>5.5338334951148045E-2</v>
      </c>
      <c r="J4" s="107">
        <f t="shared" si="2"/>
        <v>0.14016020901561269</v>
      </c>
      <c r="K4" s="107">
        <f t="shared" si="3"/>
        <v>0.12836679337028603</v>
      </c>
    </row>
    <row r="5" spans="1:11" x14ac:dyDescent="0.3">
      <c r="A5" s="93">
        <v>2024</v>
      </c>
      <c r="B5" s="106">
        <v>540.5</v>
      </c>
      <c r="C5" s="109">
        <v>0.122</v>
      </c>
      <c r="D5" s="104">
        <v>0.309</v>
      </c>
      <c r="E5" s="104">
        <v>0.28299999999999997</v>
      </c>
      <c r="F5" s="102"/>
      <c r="G5" s="93">
        <v>2024</v>
      </c>
      <c r="H5" s="110">
        <f t="shared" si="0"/>
        <v>245.16696754996326</v>
      </c>
      <c r="I5" s="109">
        <f t="shared" si="1"/>
        <v>5.5338334951148045E-2</v>
      </c>
      <c r="J5" s="109">
        <f t="shared" si="2"/>
        <v>0.14016020901561269</v>
      </c>
      <c r="K5" s="109">
        <f t="shared" si="3"/>
        <v>0.12836679337028603</v>
      </c>
    </row>
    <row r="6" spans="1:11" x14ac:dyDescent="0.3">
      <c r="A6" s="91">
        <v>2025</v>
      </c>
      <c r="B6" s="106">
        <v>540.5</v>
      </c>
      <c r="C6" s="104">
        <v>0.122</v>
      </c>
      <c r="D6" s="104">
        <v>0.309</v>
      </c>
      <c r="E6" s="104">
        <v>0.28299999999999997</v>
      </c>
      <c r="F6" s="102"/>
      <c r="G6" s="91">
        <v>2025</v>
      </c>
      <c r="H6" s="111">
        <f t="shared" si="0"/>
        <v>245.16696754996326</v>
      </c>
      <c r="I6" s="104">
        <f t="shared" si="1"/>
        <v>5.5338334951148045E-2</v>
      </c>
      <c r="J6" s="104">
        <f t="shared" si="2"/>
        <v>0.14016020901561269</v>
      </c>
      <c r="K6" s="104">
        <f t="shared" si="3"/>
        <v>0.12836679337028603</v>
      </c>
    </row>
    <row r="7" spans="1:11" x14ac:dyDescent="0.3">
      <c r="A7" s="92">
        <v>2026</v>
      </c>
      <c r="B7" s="106">
        <v>540.5</v>
      </c>
      <c r="C7" s="107">
        <v>0.122</v>
      </c>
      <c r="D7" s="104">
        <v>0.309</v>
      </c>
      <c r="E7" s="104">
        <v>0.28299999999999997</v>
      </c>
      <c r="F7" s="102"/>
      <c r="G7" s="92">
        <v>2026</v>
      </c>
      <c r="H7" s="112">
        <f t="shared" si="0"/>
        <v>245.16696754996326</v>
      </c>
      <c r="I7" s="107">
        <f t="shared" si="1"/>
        <v>5.5338334951148045E-2</v>
      </c>
      <c r="J7" s="107">
        <f t="shared" si="2"/>
        <v>0.14016020901561269</v>
      </c>
      <c r="K7" s="107">
        <f t="shared" si="3"/>
        <v>0.12836679337028603</v>
      </c>
    </row>
    <row r="8" spans="1:11" x14ac:dyDescent="0.3">
      <c r="A8" s="92">
        <v>2027</v>
      </c>
      <c r="B8" s="106">
        <v>540.5</v>
      </c>
      <c r="C8" s="107">
        <v>0.122</v>
      </c>
      <c r="D8" s="104">
        <v>0.309</v>
      </c>
      <c r="E8" s="104">
        <v>0.28299999999999997</v>
      </c>
      <c r="F8" s="102"/>
      <c r="G8" s="92">
        <v>2027</v>
      </c>
      <c r="H8" s="112">
        <f t="shared" si="0"/>
        <v>245.16696754996326</v>
      </c>
      <c r="I8" s="107">
        <f t="shared" si="1"/>
        <v>5.5338334951148045E-2</v>
      </c>
      <c r="J8" s="107">
        <f t="shared" si="2"/>
        <v>0.14016020901561269</v>
      </c>
      <c r="K8" s="107">
        <f t="shared" si="3"/>
        <v>0.12836679337028603</v>
      </c>
    </row>
    <row r="9" spans="1:11" x14ac:dyDescent="0.3">
      <c r="A9" s="92">
        <v>2028</v>
      </c>
      <c r="B9" s="106">
        <v>540.5</v>
      </c>
      <c r="C9" s="107">
        <v>0.122</v>
      </c>
      <c r="D9" s="104">
        <v>0.309</v>
      </c>
      <c r="E9" s="104">
        <v>0.28299999999999997</v>
      </c>
      <c r="F9" s="102"/>
      <c r="G9" s="92">
        <v>2028</v>
      </c>
      <c r="H9" s="112">
        <f t="shared" si="0"/>
        <v>245.16696754996326</v>
      </c>
      <c r="I9" s="107">
        <f t="shared" si="1"/>
        <v>5.5338334951148045E-2</v>
      </c>
      <c r="J9" s="107">
        <f t="shared" si="2"/>
        <v>0.14016020901561269</v>
      </c>
      <c r="K9" s="107">
        <f t="shared" si="3"/>
        <v>0.12836679337028603</v>
      </c>
    </row>
    <row r="10" spans="1:11" x14ac:dyDescent="0.3">
      <c r="A10" s="93">
        <v>2029</v>
      </c>
      <c r="B10" s="106">
        <v>540.5</v>
      </c>
      <c r="C10" s="107">
        <v>0.122</v>
      </c>
      <c r="D10" s="104">
        <v>0.309</v>
      </c>
      <c r="E10" s="104">
        <v>0.28299999999999997</v>
      </c>
      <c r="F10" s="102"/>
      <c r="G10" s="93">
        <v>2029</v>
      </c>
      <c r="H10" s="113">
        <f t="shared" si="0"/>
        <v>245.16696754996326</v>
      </c>
      <c r="I10" s="109">
        <f t="shared" si="1"/>
        <v>5.5338334951148045E-2</v>
      </c>
      <c r="J10" s="109">
        <f t="shared" si="2"/>
        <v>0.14016020901561269</v>
      </c>
      <c r="K10" s="109">
        <f t="shared" si="3"/>
        <v>0.12836679337028603</v>
      </c>
    </row>
    <row r="11" spans="1:11" x14ac:dyDescent="0.3">
      <c r="A11" s="91">
        <v>2030</v>
      </c>
      <c r="B11" s="114">
        <v>540.5</v>
      </c>
      <c r="C11" s="107">
        <v>0.122</v>
      </c>
      <c r="D11" s="104">
        <v>0.309</v>
      </c>
      <c r="E11" s="104">
        <v>0.28299999999999997</v>
      </c>
      <c r="F11" s="102"/>
      <c r="G11" s="91">
        <v>2030</v>
      </c>
      <c r="H11" s="111">
        <f t="shared" si="0"/>
        <v>245.16696754996326</v>
      </c>
      <c r="I11" s="104">
        <f t="shared" si="1"/>
        <v>5.5338334951148045E-2</v>
      </c>
      <c r="J11" s="104">
        <f t="shared" si="2"/>
        <v>0.14016020901561269</v>
      </c>
      <c r="K11" s="104">
        <f t="shared" si="3"/>
        <v>0.12836679337028603</v>
      </c>
    </row>
    <row r="12" spans="1:11" x14ac:dyDescent="0.3">
      <c r="A12" s="92">
        <v>2031</v>
      </c>
      <c r="B12" s="114">
        <v>540.5</v>
      </c>
      <c r="C12" s="107">
        <v>0.122</v>
      </c>
      <c r="D12" s="104">
        <v>0.309</v>
      </c>
      <c r="E12" s="104">
        <v>0.28299999999999997</v>
      </c>
      <c r="F12" s="102"/>
      <c r="G12" s="92">
        <v>2031</v>
      </c>
      <c r="H12" s="112">
        <f t="shared" si="0"/>
        <v>245.16696754996326</v>
      </c>
      <c r="I12" s="107">
        <f t="shared" si="1"/>
        <v>5.5338334951148045E-2</v>
      </c>
      <c r="J12" s="107">
        <f t="shared" si="2"/>
        <v>0.14016020901561269</v>
      </c>
      <c r="K12" s="107">
        <f t="shared" si="3"/>
        <v>0.12836679337028603</v>
      </c>
    </row>
    <row r="13" spans="1:11" x14ac:dyDescent="0.3">
      <c r="A13" s="92">
        <v>2032</v>
      </c>
      <c r="B13" s="114">
        <v>540.5</v>
      </c>
      <c r="C13" s="107">
        <v>0.122</v>
      </c>
      <c r="D13" s="104">
        <v>0.309</v>
      </c>
      <c r="E13" s="104">
        <v>0.28299999999999997</v>
      </c>
      <c r="F13" s="102"/>
      <c r="G13" s="92">
        <v>2032</v>
      </c>
      <c r="H13" s="112">
        <f t="shared" si="0"/>
        <v>245.16696754996326</v>
      </c>
      <c r="I13" s="107">
        <f t="shared" si="1"/>
        <v>5.5338334951148045E-2</v>
      </c>
      <c r="J13" s="107">
        <f t="shared" si="2"/>
        <v>0.14016020901561269</v>
      </c>
      <c r="K13" s="107">
        <f t="shared" si="3"/>
        <v>0.12836679337028603</v>
      </c>
    </row>
    <row r="14" spans="1:11" x14ac:dyDescent="0.3">
      <c r="A14" s="92">
        <v>2033</v>
      </c>
      <c r="B14" s="114">
        <v>540.5</v>
      </c>
      <c r="C14" s="107">
        <v>0.122</v>
      </c>
      <c r="D14" s="104">
        <v>0.309</v>
      </c>
      <c r="E14" s="104">
        <v>0.28299999999999997</v>
      </c>
      <c r="F14" s="102"/>
      <c r="G14" s="92">
        <v>2033</v>
      </c>
      <c r="H14" s="112">
        <f t="shared" si="0"/>
        <v>245.16696754996326</v>
      </c>
      <c r="I14" s="107">
        <f t="shared" si="1"/>
        <v>5.5338334951148045E-2</v>
      </c>
      <c r="J14" s="107">
        <f t="shared" si="2"/>
        <v>0.14016020901561269</v>
      </c>
      <c r="K14" s="107">
        <f t="shared" si="3"/>
        <v>0.12836679337028603</v>
      </c>
    </row>
    <row r="15" spans="1:11" x14ac:dyDescent="0.3">
      <c r="A15" s="92">
        <v>2034</v>
      </c>
      <c r="B15" s="114">
        <v>540.5</v>
      </c>
      <c r="C15" s="107">
        <v>0.122</v>
      </c>
      <c r="D15" s="104">
        <v>0.309</v>
      </c>
      <c r="E15" s="104">
        <v>0.28299999999999997</v>
      </c>
      <c r="F15" s="102"/>
      <c r="G15" s="92">
        <v>2034</v>
      </c>
      <c r="H15" s="112">
        <f t="shared" si="0"/>
        <v>245.16696754996326</v>
      </c>
      <c r="I15" s="107">
        <f t="shared" si="1"/>
        <v>5.5338334951148045E-2</v>
      </c>
      <c r="J15" s="107">
        <f t="shared" si="2"/>
        <v>0.14016020901561269</v>
      </c>
      <c r="K15" s="107">
        <f t="shared" si="3"/>
        <v>0.12836679337028603</v>
      </c>
    </row>
    <row r="16" spans="1:11" x14ac:dyDescent="0.3">
      <c r="A16" s="92">
        <v>2035</v>
      </c>
      <c r="B16" s="114">
        <v>540.5</v>
      </c>
      <c r="C16" s="107">
        <v>0.122</v>
      </c>
      <c r="D16" s="104">
        <v>0.309</v>
      </c>
      <c r="E16" s="104">
        <v>0.28299999999999997</v>
      </c>
      <c r="F16" s="102"/>
      <c r="G16" s="92">
        <v>2035</v>
      </c>
      <c r="H16" s="112">
        <f t="shared" si="0"/>
        <v>245.16696754996326</v>
      </c>
      <c r="I16" s="107">
        <f t="shared" si="1"/>
        <v>5.5338334951148045E-2</v>
      </c>
      <c r="J16" s="107">
        <f t="shared" si="2"/>
        <v>0.14016020901561269</v>
      </c>
      <c r="K16" s="107">
        <f t="shared" si="3"/>
        <v>0.12836679337028603</v>
      </c>
    </row>
    <row r="17" spans="1:11" x14ac:dyDescent="0.3">
      <c r="A17" s="92">
        <v>2036</v>
      </c>
      <c r="B17" s="114">
        <v>540.5</v>
      </c>
      <c r="C17" s="107">
        <v>0.122</v>
      </c>
      <c r="D17" s="104">
        <v>0.309</v>
      </c>
      <c r="E17" s="104">
        <v>0.28299999999999997</v>
      </c>
      <c r="F17" s="102"/>
      <c r="G17" s="92">
        <v>2036</v>
      </c>
      <c r="H17" s="112">
        <f t="shared" si="0"/>
        <v>245.16696754996326</v>
      </c>
      <c r="I17" s="107">
        <f t="shared" si="1"/>
        <v>5.5338334951148045E-2</v>
      </c>
      <c r="J17" s="107">
        <f t="shared" si="2"/>
        <v>0.14016020901561269</v>
      </c>
      <c r="K17" s="107">
        <f t="shared" si="3"/>
        <v>0.12836679337028603</v>
      </c>
    </row>
    <row r="18" spans="1:11" x14ac:dyDescent="0.3">
      <c r="A18" s="92">
        <v>2037</v>
      </c>
      <c r="B18" s="114">
        <v>540.5</v>
      </c>
      <c r="C18" s="107">
        <v>0.122</v>
      </c>
      <c r="D18" s="104">
        <v>0.309</v>
      </c>
      <c r="E18" s="104">
        <v>0.28299999999999997</v>
      </c>
      <c r="F18" s="102"/>
      <c r="G18" s="92">
        <v>2037</v>
      </c>
      <c r="H18" s="112">
        <f t="shared" si="0"/>
        <v>245.16696754996326</v>
      </c>
      <c r="I18" s="107">
        <f t="shared" si="1"/>
        <v>5.5338334951148045E-2</v>
      </c>
      <c r="J18" s="107">
        <f t="shared" si="2"/>
        <v>0.14016020901561269</v>
      </c>
      <c r="K18" s="107">
        <f t="shared" si="3"/>
        <v>0.12836679337028603</v>
      </c>
    </row>
    <row r="19" spans="1:11" x14ac:dyDescent="0.3">
      <c r="A19" s="92">
        <v>2038</v>
      </c>
      <c r="B19" s="114">
        <v>540.5</v>
      </c>
      <c r="C19" s="107">
        <v>0.122</v>
      </c>
      <c r="D19" s="104">
        <v>0.309</v>
      </c>
      <c r="E19" s="104">
        <v>0.28299999999999997</v>
      </c>
      <c r="F19" s="102"/>
      <c r="G19" s="92">
        <v>2038</v>
      </c>
      <c r="H19" s="112">
        <f t="shared" si="0"/>
        <v>245.16696754996326</v>
      </c>
      <c r="I19" s="107">
        <f t="shared" si="1"/>
        <v>5.5338334951148045E-2</v>
      </c>
      <c r="J19" s="107">
        <f t="shared" si="2"/>
        <v>0.14016020901561269</v>
      </c>
      <c r="K19" s="107">
        <f t="shared" si="3"/>
        <v>0.12836679337028603</v>
      </c>
    </row>
    <row r="20" spans="1:11" x14ac:dyDescent="0.3">
      <c r="A20" s="93">
        <v>2039</v>
      </c>
      <c r="B20" s="114">
        <v>540.5</v>
      </c>
      <c r="C20" s="107">
        <v>0.122</v>
      </c>
      <c r="D20" s="104">
        <v>0.309</v>
      </c>
      <c r="E20" s="104">
        <v>0.28299999999999997</v>
      </c>
      <c r="F20" s="102"/>
      <c r="G20" s="93">
        <v>2039</v>
      </c>
      <c r="H20" s="112">
        <f t="shared" si="0"/>
        <v>245.16696754996326</v>
      </c>
      <c r="I20" s="107">
        <f t="shared" si="1"/>
        <v>5.5338334951148045E-2</v>
      </c>
      <c r="J20" s="107">
        <f t="shared" si="2"/>
        <v>0.14016020901561269</v>
      </c>
      <c r="K20" s="107">
        <f t="shared" si="3"/>
        <v>0.12836679337028603</v>
      </c>
    </row>
    <row r="21" spans="1:11" x14ac:dyDescent="0.3">
      <c r="A21" s="91">
        <v>2040</v>
      </c>
      <c r="B21" s="114">
        <v>540.5</v>
      </c>
      <c r="C21" s="107">
        <v>0.122</v>
      </c>
      <c r="D21" s="104">
        <v>0.309</v>
      </c>
      <c r="E21" s="104">
        <v>0.28299999999999997</v>
      </c>
      <c r="F21" s="102"/>
      <c r="G21" s="92">
        <v>2040</v>
      </c>
      <c r="H21" s="111">
        <f t="shared" si="0"/>
        <v>245.16696754996326</v>
      </c>
      <c r="I21" s="104">
        <f t="shared" si="1"/>
        <v>5.5338334951148045E-2</v>
      </c>
      <c r="J21" s="104">
        <f t="shared" si="2"/>
        <v>0.14016020901561269</v>
      </c>
      <c r="K21" s="104">
        <f t="shared" si="3"/>
        <v>0.12836679337028603</v>
      </c>
    </row>
    <row r="22" spans="1:11" x14ac:dyDescent="0.3">
      <c r="A22" s="92">
        <v>2041</v>
      </c>
      <c r="B22" s="114">
        <v>540.5</v>
      </c>
      <c r="C22" s="107">
        <v>0.122</v>
      </c>
      <c r="D22" s="104">
        <v>0.309</v>
      </c>
      <c r="E22" s="104">
        <v>0.28299999999999997</v>
      </c>
      <c r="F22" s="102"/>
      <c r="G22" s="92">
        <v>2041</v>
      </c>
      <c r="H22" s="112">
        <f t="shared" si="0"/>
        <v>245.16696754996326</v>
      </c>
      <c r="I22" s="107">
        <f t="shared" si="1"/>
        <v>5.5338334951148045E-2</v>
      </c>
      <c r="J22" s="107">
        <f t="shared" si="2"/>
        <v>0.14016020901561269</v>
      </c>
      <c r="K22" s="107">
        <f t="shared" si="3"/>
        <v>0.12836679337028603</v>
      </c>
    </row>
    <row r="23" spans="1:11" x14ac:dyDescent="0.3">
      <c r="A23" s="92">
        <v>2042</v>
      </c>
      <c r="B23" s="114">
        <v>540.5</v>
      </c>
      <c r="C23" s="107">
        <v>0.122</v>
      </c>
      <c r="D23" s="104">
        <v>0.309</v>
      </c>
      <c r="E23" s="104">
        <v>0.28299999999999997</v>
      </c>
      <c r="F23" s="102"/>
      <c r="G23" s="92">
        <v>2042</v>
      </c>
      <c r="H23" s="112">
        <f t="shared" si="0"/>
        <v>245.16696754996326</v>
      </c>
      <c r="I23" s="107">
        <f t="shared" si="1"/>
        <v>5.5338334951148045E-2</v>
      </c>
      <c r="J23" s="107">
        <f t="shared" si="2"/>
        <v>0.14016020901561269</v>
      </c>
      <c r="K23" s="107">
        <f t="shared" si="3"/>
        <v>0.12836679337028603</v>
      </c>
    </row>
    <row r="24" spans="1:11" x14ac:dyDescent="0.3">
      <c r="A24" s="92">
        <v>2043</v>
      </c>
      <c r="B24" s="114">
        <v>540.5</v>
      </c>
      <c r="C24" s="107">
        <v>0.122</v>
      </c>
      <c r="D24" s="104">
        <v>0.309</v>
      </c>
      <c r="E24" s="104">
        <v>0.28299999999999997</v>
      </c>
      <c r="F24" s="102"/>
      <c r="G24" s="92">
        <v>2043</v>
      </c>
      <c r="H24" s="112">
        <f t="shared" si="0"/>
        <v>245.16696754996326</v>
      </c>
      <c r="I24" s="107">
        <f t="shared" si="1"/>
        <v>5.5338334951148045E-2</v>
      </c>
      <c r="J24" s="107">
        <f t="shared" si="2"/>
        <v>0.14016020901561269</v>
      </c>
      <c r="K24" s="107">
        <f t="shared" si="3"/>
        <v>0.12836679337028603</v>
      </c>
    </row>
    <row r="25" spans="1:11" x14ac:dyDescent="0.3">
      <c r="A25" s="92">
        <v>2044</v>
      </c>
      <c r="B25" s="114">
        <v>540.5</v>
      </c>
      <c r="C25" s="107">
        <v>0.122</v>
      </c>
      <c r="D25" s="104">
        <v>0.309</v>
      </c>
      <c r="E25" s="104">
        <v>0.28299999999999997</v>
      </c>
      <c r="F25" s="102"/>
      <c r="G25" s="92">
        <v>2044</v>
      </c>
      <c r="H25" s="112">
        <f t="shared" si="0"/>
        <v>245.16696754996326</v>
      </c>
      <c r="I25" s="107">
        <f t="shared" si="1"/>
        <v>5.5338334951148045E-2</v>
      </c>
      <c r="J25" s="107">
        <f t="shared" si="2"/>
        <v>0.14016020901561269</v>
      </c>
      <c r="K25" s="107">
        <f t="shared" si="3"/>
        <v>0.12836679337028603</v>
      </c>
    </row>
    <row r="26" spans="1:11" x14ac:dyDescent="0.3">
      <c r="A26" s="92">
        <v>2045</v>
      </c>
      <c r="B26" s="114">
        <v>540.5</v>
      </c>
      <c r="C26" s="107">
        <v>0.122</v>
      </c>
      <c r="D26" s="104">
        <v>0.309</v>
      </c>
      <c r="E26" s="104">
        <v>0.28299999999999997</v>
      </c>
      <c r="F26" s="102"/>
      <c r="G26" s="92">
        <v>2045</v>
      </c>
      <c r="H26" s="112">
        <f t="shared" si="0"/>
        <v>245.16696754996326</v>
      </c>
      <c r="I26" s="107">
        <f t="shared" si="1"/>
        <v>5.5338334951148045E-2</v>
      </c>
      <c r="J26" s="107">
        <f t="shared" si="2"/>
        <v>0.14016020901561269</v>
      </c>
      <c r="K26" s="107">
        <f t="shared" si="3"/>
        <v>0.12836679337028603</v>
      </c>
    </row>
    <row r="27" spans="1:11" x14ac:dyDescent="0.3">
      <c r="A27" s="92">
        <v>2046</v>
      </c>
      <c r="B27" s="114">
        <v>540.5</v>
      </c>
      <c r="C27" s="107">
        <v>0.122</v>
      </c>
      <c r="D27" s="104">
        <v>0.309</v>
      </c>
      <c r="E27" s="104">
        <v>0.28299999999999997</v>
      </c>
      <c r="F27" s="102"/>
      <c r="G27" s="92">
        <v>2046</v>
      </c>
      <c r="H27" s="112">
        <f t="shared" si="0"/>
        <v>245.16696754996326</v>
      </c>
      <c r="I27" s="107">
        <f t="shared" si="1"/>
        <v>5.5338334951148045E-2</v>
      </c>
      <c r="J27" s="107">
        <f t="shared" si="2"/>
        <v>0.14016020901561269</v>
      </c>
      <c r="K27" s="107">
        <f t="shared" si="3"/>
        <v>0.12836679337028603</v>
      </c>
    </row>
    <row r="28" spans="1:11" x14ac:dyDescent="0.3">
      <c r="A28" s="92">
        <v>2047</v>
      </c>
      <c r="B28" s="114">
        <v>540.5</v>
      </c>
      <c r="C28" s="107">
        <v>0.122</v>
      </c>
      <c r="D28" s="104">
        <v>0.309</v>
      </c>
      <c r="E28" s="104">
        <v>0.28299999999999997</v>
      </c>
      <c r="F28" s="102"/>
      <c r="G28" s="92">
        <v>2047</v>
      </c>
      <c r="H28" s="112">
        <f t="shared" si="0"/>
        <v>245.16696754996326</v>
      </c>
      <c r="I28" s="107">
        <f t="shared" si="1"/>
        <v>5.5338334951148045E-2</v>
      </c>
      <c r="J28" s="107">
        <f t="shared" si="2"/>
        <v>0.14016020901561269</v>
      </c>
      <c r="K28" s="107">
        <f t="shared" si="3"/>
        <v>0.12836679337028603</v>
      </c>
    </row>
    <row r="29" spans="1:11" x14ac:dyDescent="0.3">
      <c r="A29" s="92">
        <v>2048</v>
      </c>
      <c r="B29" s="114">
        <v>540.5</v>
      </c>
      <c r="C29" s="107">
        <v>0.122</v>
      </c>
      <c r="D29" s="104">
        <v>0.309</v>
      </c>
      <c r="E29" s="104">
        <v>0.28299999999999997</v>
      </c>
      <c r="F29" s="102"/>
      <c r="G29" s="92">
        <v>2048</v>
      </c>
      <c r="H29" s="112">
        <f t="shared" si="0"/>
        <v>245.16696754996326</v>
      </c>
      <c r="I29" s="107">
        <f t="shared" si="1"/>
        <v>5.5338334951148045E-2</v>
      </c>
      <c r="J29" s="107">
        <f t="shared" si="2"/>
        <v>0.14016020901561269</v>
      </c>
      <c r="K29" s="107">
        <f t="shared" si="3"/>
        <v>0.12836679337028603</v>
      </c>
    </row>
    <row r="30" spans="1:11" x14ac:dyDescent="0.3">
      <c r="A30" s="93">
        <v>2049</v>
      </c>
      <c r="B30" s="114">
        <v>540.5</v>
      </c>
      <c r="C30" s="107">
        <v>0.122</v>
      </c>
      <c r="D30" s="104">
        <v>0.309</v>
      </c>
      <c r="E30" s="104">
        <v>0.28299999999999997</v>
      </c>
      <c r="F30" s="102"/>
      <c r="G30" s="93">
        <v>2049</v>
      </c>
      <c r="H30" s="113">
        <f t="shared" si="0"/>
        <v>245.16696754996326</v>
      </c>
      <c r="I30" s="109">
        <f t="shared" si="1"/>
        <v>5.5338334951148045E-2</v>
      </c>
      <c r="J30" s="109">
        <f t="shared" si="2"/>
        <v>0.14016020901561269</v>
      </c>
      <c r="K30" s="109">
        <f t="shared" si="3"/>
        <v>0.12836679337028603</v>
      </c>
    </row>
    <row r="31" spans="1:11" x14ac:dyDescent="0.3">
      <c r="A31" s="115">
        <v>2050</v>
      </c>
      <c r="B31" s="114">
        <v>540.5</v>
      </c>
      <c r="C31" s="107">
        <v>0.122</v>
      </c>
      <c r="D31" s="104">
        <v>0.309</v>
      </c>
      <c r="E31" s="104">
        <v>0.28299999999999997</v>
      </c>
      <c r="F31" s="102"/>
      <c r="G31" s="116">
        <v>2050</v>
      </c>
      <c r="H31" s="113">
        <f t="shared" si="0"/>
        <v>245.16696754996326</v>
      </c>
      <c r="I31" s="109">
        <f t="shared" si="1"/>
        <v>5.5338334951148045E-2</v>
      </c>
      <c r="J31" s="109">
        <f t="shared" si="2"/>
        <v>0.14016020901561269</v>
      </c>
      <c r="K31" s="109">
        <f t="shared" si="3"/>
        <v>0.12836679337028603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09BC2-843C-4FBF-80C7-456DB5A8F273}">
  <dimension ref="A1:K26"/>
  <sheetViews>
    <sheetView topLeftCell="A7" workbookViewId="0">
      <selection activeCell="G28" sqref="G28"/>
    </sheetView>
  </sheetViews>
  <sheetFormatPr defaultRowHeight="15.5" x14ac:dyDescent="0.3"/>
  <cols>
    <col min="1" max="16384" width="9.06640625" style="14"/>
  </cols>
  <sheetData>
    <row r="1" spans="1:11" x14ac:dyDescent="0.35">
      <c r="A1" s="187" t="s">
        <v>7</v>
      </c>
      <c r="B1" s="187" t="s">
        <v>78</v>
      </c>
      <c r="C1" s="188" t="s">
        <v>79</v>
      </c>
      <c r="D1" s="188" t="s">
        <v>80</v>
      </c>
      <c r="E1" s="189" t="s">
        <v>81</v>
      </c>
    </row>
    <row r="2" spans="1:11" x14ac:dyDescent="0.35">
      <c r="A2" s="190">
        <v>2025</v>
      </c>
      <c r="B2" s="190">
        <v>0</v>
      </c>
      <c r="C2" s="191">
        <v>0</v>
      </c>
      <c r="D2" s="191">
        <v>0</v>
      </c>
      <c r="E2" s="192">
        <v>0</v>
      </c>
    </row>
    <row r="3" spans="1:11" ht="16.5" customHeight="1" x14ac:dyDescent="0.35">
      <c r="A3" s="193">
        <v>2026</v>
      </c>
      <c r="B3" s="193">
        <v>0</v>
      </c>
      <c r="C3" s="194">
        <v>0</v>
      </c>
      <c r="D3" s="194">
        <v>0</v>
      </c>
      <c r="E3" s="195">
        <v>0</v>
      </c>
      <c r="G3" s="216" t="s">
        <v>123</v>
      </c>
      <c r="H3" s="216"/>
      <c r="I3" s="216"/>
      <c r="J3" s="216"/>
      <c r="K3" s="216"/>
    </row>
    <row r="4" spans="1:11" x14ac:dyDescent="0.35">
      <c r="A4" s="193">
        <v>2027</v>
      </c>
      <c r="B4" s="193">
        <v>0</v>
      </c>
      <c r="C4" s="194">
        <v>0</v>
      </c>
      <c r="D4" s="194">
        <v>0</v>
      </c>
      <c r="E4" s="195">
        <v>0</v>
      </c>
    </row>
    <row r="5" spans="1:11" x14ac:dyDescent="0.35">
      <c r="A5" s="193">
        <v>2028</v>
      </c>
      <c r="B5" s="193">
        <v>0</v>
      </c>
      <c r="C5" s="194">
        <v>0</v>
      </c>
      <c r="D5" s="194">
        <v>0</v>
      </c>
      <c r="E5" s="195">
        <v>0</v>
      </c>
    </row>
    <row r="6" spans="1:11" x14ac:dyDescent="0.35">
      <c r="A6" s="196">
        <v>2029</v>
      </c>
      <c r="B6" s="196">
        <v>0</v>
      </c>
      <c r="C6" s="197">
        <v>0</v>
      </c>
      <c r="D6" s="197">
        <v>0</v>
      </c>
      <c r="E6" s="198">
        <v>0</v>
      </c>
    </row>
    <row r="7" spans="1:11" x14ac:dyDescent="0.35">
      <c r="A7" s="190">
        <v>2030</v>
      </c>
      <c r="B7" s="190">
        <v>0</v>
      </c>
      <c r="C7" s="191">
        <v>0</v>
      </c>
      <c r="D7" s="191">
        <v>0</v>
      </c>
      <c r="E7" s="192">
        <v>0</v>
      </c>
    </row>
    <row r="8" spans="1:11" x14ac:dyDescent="0.35">
      <c r="A8" s="193">
        <f t="shared" ref="A8:B23" si="0">A7+1</f>
        <v>2031</v>
      </c>
      <c r="B8" s="193">
        <v>0</v>
      </c>
      <c r="C8" s="194">
        <v>0</v>
      </c>
      <c r="D8" s="194">
        <v>0</v>
      </c>
      <c r="E8" s="195">
        <v>0</v>
      </c>
    </row>
    <row r="9" spans="1:11" x14ac:dyDescent="0.35">
      <c r="A9" s="193">
        <f t="shared" si="0"/>
        <v>2032</v>
      </c>
      <c r="B9" s="193">
        <v>0</v>
      </c>
      <c r="C9" s="194">
        <v>0</v>
      </c>
      <c r="D9" s="194">
        <v>0</v>
      </c>
      <c r="E9" s="195">
        <v>0</v>
      </c>
    </row>
    <row r="10" spans="1:11" x14ac:dyDescent="0.35">
      <c r="A10" s="193">
        <f t="shared" si="0"/>
        <v>2033</v>
      </c>
      <c r="B10" s="193">
        <v>0</v>
      </c>
      <c r="C10" s="194">
        <v>0</v>
      </c>
      <c r="D10" s="194">
        <v>0</v>
      </c>
      <c r="E10" s="195">
        <v>0</v>
      </c>
    </row>
    <row r="11" spans="1:11" x14ac:dyDescent="0.35">
      <c r="A11" s="196">
        <f t="shared" si="0"/>
        <v>2034</v>
      </c>
      <c r="B11" s="196">
        <v>0</v>
      </c>
      <c r="C11" s="197">
        <v>0</v>
      </c>
      <c r="D11" s="197">
        <v>0</v>
      </c>
      <c r="E11" s="198">
        <v>0</v>
      </c>
    </row>
    <row r="12" spans="1:11" x14ac:dyDescent="0.35">
      <c r="A12" s="193">
        <f t="shared" si="0"/>
        <v>2035</v>
      </c>
      <c r="B12" s="193">
        <v>15</v>
      </c>
      <c r="C12" s="194">
        <v>15</v>
      </c>
      <c r="D12" s="194">
        <f t="shared" ref="D12:D26" si="1">C12*B12</f>
        <v>225</v>
      </c>
      <c r="E12" s="195">
        <f t="shared" ref="E12:E26" si="2">E11+D12</f>
        <v>225</v>
      </c>
    </row>
    <row r="13" spans="1:11" x14ac:dyDescent="0.35">
      <c r="A13" s="193">
        <f t="shared" si="0"/>
        <v>2036</v>
      </c>
      <c r="B13" s="193">
        <f t="shared" si="0"/>
        <v>16</v>
      </c>
      <c r="C13" s="194">
        <v>15</v>
      </c>
      <c r="D13" s="194">
        <f t="shared" si="1"/>
        <v>240</v>
      </c>
      <c r="E13" s="195">
        <f t="shared" si="2"/>
        <v>465</v>
      </c>
    </row>
    <row r="14" spans="1:11" x14ac:dyDescent="0.35">
      <c r="A14" s="193">
        <f t="shared" si="0"/>
        <v>2037</v>
      </c>
      <c r="B14" s="193">
        <f t="shared" si="0"/>
        <v>17</v>
      </c>
      <c r="C14" s="194">
        <v>15</v>
      </c>
      <c r="D14" s="194">
        <f t="shared" si="1"/>
        <v>255</v>
      </c>
      <c r="E14" s="195">
        <f t="shared" si="2"/>
        <v>720</v>
      </c>
    </row>
    <row r="15" spans="1:11" x14ac:dyDescent="0.35">
      <c r="A15" s="193">
        <f t="shared" si="0"/>
        <v>2038</v>
      </c>
      <c r="B15" s="193">
        <f t="shared" si="0"/>
        <v>18</v>
      </c>
      <c r="C15" s="194">
        <v>15</v>
      </c>
      <c r="D15" s="194">
        <f t="shared" si="1"/>
        <v>270</v>
      </c>
      <c r="E15" s="195">
        <f t="shared" si="2"/>
        <v>990</v>
      </c>
    </row>
    <row r="16" spans="1:11" x14ac:dyDescent="0.35">
      <c r="A16" s="196">
        <f t="shared" si="0"/>
        <v>2039</v>
      </c>
      <c r="B16" s="196">
        <f t="shared" si="0"/>
        <v>19</v>
      </c>
      <c r="C16" s="197">
        <v>15</v>
      </c>
      <c r="D16" s="197">
        <f t="shared" si="1"/>
        <v>285</v>
      </c>
      <c r="E16" s="198">
        <f t="shared" si="2"/>
        <v>1275</v>
      </c>
    </row>
    <row r="17" spans="1:5" x14ac:dyDescent="0.35">
      <c r="A17" s="193">
        <f t="shared" si="0"/>
        <v>2040</v>
      </c>
      <c r="B17" s="190">
        <v>19</v>
      </c>
      <c r="C17" s="191">
        <v>20</v>
      </c>
      <c r="D17" s="191">
        <f t="shared" si="1"/>
        <v>380</v>
      </c>
      <c r="E17" s="192">
        <f t="shared" si="2"/>
        <v>1655</v>
      </c>
    </row>
    <row r="18" spans="1:5" x14ac:dyDescent="0.35">
      <c r="A18" s="193">
        <f t="shared" si="0"/>
        <v>2041</v>
      </c>
      <c r="B18" s="193">
        <f t="shared" si="0"/>
        <v>20</v>
      </c>
      <c r="C18" s="194">
        <v>20</v>
      </c>
      <c r="D18" s="194">
        <f t="shared" si="1"/>
        <v>400</v>
      </c>
      <c r="E18" s="195">
        <f t="shared" si="2"/>
        <v>2055</v>
      </c>
    </row>
    <row r="19" spans="1:5" x14ac:dyDescent="0.35">
      <c r="A19" s="193">
        <f t="shared" si="0"/>
        <v>2042</v>
      </c>
      <c r="B19" s="193">
        <f t="shared" si="0"/>
        <v>21</v>
      </c>
      <c r="C19" s="194">
        <v>20</v>
      </c>
      <c r="D19" s="194">
        <f t="shared" si="1"/>
        <v>420</v>
      </c>
      <c r="E19" s="195">
        <f t="shared" si="2"/>
        <v>2475</v>
      </c>
    </row>
    <row r="20" spans="1:5" x14ac:dyDescent="0.35">
      <c r="A20" s="193">
        <f t="shared" si="0"/>
        <v>2043</v>
      </c>
      <c r="B20" s="193">
        <f t="shared" si="0"/>
        <v>22</v>
      </c>
      <c r="C20" s="194">
        <v>20</v>
      </c>
      <c r="D20" s="194">
        <f t="shared" si="1"/>
        <v>440</v>
      </c>
      <c r="E20" s="195">
        <f t="shared" si="2"/>
        <v>2915</v>
      </c>
    </row>
    <row r="21" spans="1:5" x14ac:dyDescent="0.35">
      <c r="A21" s="193">
        <f t="shared" si="0"/>
        <v>2044</v>
      </c>
      <c r="B21" s="193">
        <f t="shared" si="0"/>
        <v>23</v>
      </c>
      <c r="C21" s="194">
        <v>20</v>
      </c>
      <c r="D21" s="194">
        <f t="shared" si="1"/>
        <v>460</v>
      </c>
      <c r="E21" s="195">
        <f t="shared" si="2"/>
        <v>3375</v>
      </c>
    </row>
    <row r="22" spans="1:5" x14ac:dyDescent="0.35">
      <c r="A22" s="193">
        <f t="shared" si="0"/>
        <v>2045</v>
      </c>
      <c r="B22" s="193">
        <f t="shared" si="0"/>
        <v>24</v>
      </c>
      <c r="C22" s="194">
        <v>20</v>
      </c>
      <c r="D22" s="194">
        <f t="shared" si="1"/>
        <v>480</v>
      </c>
      <c r="E22" s="195">
        <f t="shared" si="2"/>
        <v>3855</v>
      </c>
    </row>
    <row r="23" spans="1:5" x14ac:dyDescent="0.35">
      <c r="A23" s="193">
        <f t="shared" si="0"/>
        <v>2046</v>
      </c>
      <c r="B23" s="193">
        <f t="shared" si="0"/>
        <v>25</v>
      </c>
      <c r="C23" s="194">
        <v>20</v>
      </c>
      <c r="D23" s="194">
        <f t="shared" si="1"/>
        <v>500</v>
      </c>
      <c r="E23" s="195">
        <f t="shared" si="2"/>
        <v>4355</v>
      </c>
    </row>
    <row r="24" spans="1:5" x14ac:dyDescent="0.35">
      <c r="A24" s="193">
        <f t="shared" ref="A24:B26" si="3">A23+1</f>
        <v>2047</v>
      </c>
      <c r="B24" s="193">
        <f t="shared" si="3"/>
        <v>26</v>
      </c>
      <c r="C24" s="194">
        <v>20</v>
      </c>
      <c r="D24" s="194">
        <f t="shared" si="1"/>
        <v>520</v>
      </c>
      <c r="E24" s="195">
        <f t="shared" si="2"/>
        <v>4875</v>
      </c>
    </row>
    <row r="25" spans="1:5" x14ac:dyDescent="0.35">
      <c r="A25" s="193">
        <f t="shared" si="3"/>
        <v>2048</v>
      </c>
      <c r="B25" s="193">
        <f t="shared" si="3"/>
        <v>27</v>
      </c>
      <c r="C25" s="194">
        <v>20</v>
      </c>
      <c r="D25" s="194">
        <f t="shared" si="1"/>
        <v>540</v>
      </c>
      <c r="E25" s="195">
        <f t="shared" si="2"/>
        <v>5415</v>
      </c>
    </row>
    <row r="26" spans="1:5" x14ac:dyDescent="0.35">
      <c r="A26" s="196">
        <f t="shared" si="3"/>
        <v>2049</v>
      </c>
      <c r="B26" s="196">
        <f t="shared" si="3"/>
        <v>28</v>
      </c>
      <c r="C26" s="197">
        <v>20</v>
      </c>
      <c r="D26" s="197">
        <f t="shared" si="1"/>
        <v>560</v>
      </c>
      <c r="E26" s="199">
        <f t="shared" si="2"/>
        <v>5975</v>
      </c>
    </row>
  </sheetData>
  <mergeCells count="1">
    <mergeCell ref="G3:K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topLeftCell="C1" workbookViewId="0">
      <selection activeCell="C9" sqref="C9"/>
    </sheetView>
  </sheetViews>
  <sheetFormatPr defaultColWidth="11.265625" defaultRowHeight="14" x14ac:dyDescent="0.3"/>
  <cols>
    <col min="1" max="1" width="18.6640625" style="8" customWidth="1"/>
    <col min="2" max="2" width="11.6640625" style="8" bestFit="1" customWidth="1"/>
    <col min="3" max="3" width="14.46484375" style="8" customWidth="1"/>
    <col min="4" max="4" width="10.59765625" style="8" customWidth="1"/>
    <col min="5" max="5" width="7.3984375" style="8" customWidth="1"/>
    <col min="6" max="6" width="18.86328125" style="8" customWidth="1"/>
    <col min="7" max="7" width="11.6640625" style="8" bestFit="1" customWidth="1"/>
    <col min="8" max="8" width="18.06640625" style="8" customWidth="1"/>
    <col min="9" max="16384" width="11.265625" style="8"/>
  </cols>
  <sheetData>
    <row r="1" spans="1:9" ht="80.5" customHeight="1" x14ac:dyDescent="0.3">
      <c r="A1" s="218" t="s">
        <v>102</v>
      </c>
      <c r="B1" s="218"/>
      <c r="C1" s="218"/>
      <c r="D1" s="218"/>
      <c r="F1" s="217" t="s">
        <v>83</v>
      </c>
      <c r="G1" s="217"/>
      <c r="H1" s="217"/>
      <c r="I1" s="217"/>
    </row>
    <row r="2" spans="1:9" ht="14" customHeight="1" x14ac:dyDescent="0.3">
      <c r="A2" s="219" t="s">
        <v>22</v>
      </c>
      <c r="B2" s="220"/>
      <c r="C2" s="220"/>
      <c r="D2" s="221"/>
      <c r="F2" s="219" t="s">
        <v>22</v>
      </c>
      <c r="G2" s="220"/>
      <c r="H2" s="220"/>
      <c r="I2" s="221"/>
    </row>
    <row r="3" spans="1:9" x14ac:dyDescent="0.3">
      <c r="A3" s="222"/>
      <c r="B3" s="223"/>
      <c r="C3" s="223"/>
      <c r="D3" s="224"/>
      <c r="F3" s="222"/>
      <c r="G3" s="223"/>
      <c r="H3" s="223"/>
      <c r="I3" s="224"/>
    </row>
    <row r="4" spans="1:9" x14ac:dyDescent="0.3">
      <c r="A4" s="225" t="s">
        <v>14</v>
      </c>
      <c r="B4" s="226"/>
      <c r="C4" s="226"/>
      <c r="D4" s="227"/>
      <c r="F4" s="225" t="s">
        <v>14</v>
      </c>
      <c r="G4" s="226"/>
      <c r="H4" s="226"/>
      <c r="I4" s="227"/>
    </row>
    <row r="5" spans="1:9" x14ac:dyDescent="0.3">
      <c r="A5" s="47"/>
      <c r="B5" s="48" t="s">
        <v>10</v>
      </c>
      <c r="C5" s="48" t="s">
        <v>11</v>
      </c>
      <c r="D5" s="155"/>
      <c r="F5" s="47"/>
      <c r="G5" s="48" t="s">
        <v>10</v>
      </c>
      <c r="H5" s="48" t="s">
        <v>11</v>
      </c>
      <c r="I5" s="155"/>
    </row>
    <row r="6" spans="1:9" x14ac:dyDescent="0.3">
      <c r="A6" s="49" t="s">
        <v>12</v>
      </c>
      <c r="B6" s="16">
        <f>'Initial Capital Cost'!D34</f>
        <v>677785734.55500603</v>
      </c>
      <c r="C6" s="31"/>
      <c r="D6" s="156"/>
      <c r="F6" s="49" t="s">
        <v>12</v>
      </c>
      <c r="G6" s="31">
        <f>'Initial Capital Cost'!D34</f>
        <v>677785734.55500603</v>
      </c>
      <c r="H6" s="31"/>
      <c r="I6" s="156"/>
    </row>
    <row r="7" spans="1:9" ht="28" x14ac:dyDescent="0.3">
      <c r="A7" s="50" t="s">
        <v>38</v>
      </c>
      <c r="B7" s="31"/>
      <c r="C7" s="16">
        <f>'Tug Boat Emissions'!AC80</f>
        <v>68375950.86680375</v>
      </c>
      <c r="D7" s="156"/>
      <c r="F7" s="50" t="s">
        <v>60</v>
      </c>
      <c r="G7" s="31"/>
      <c r="H7" s="16">
        <f>'Wind Energy Emissions'!T39</f>
        <v>26041284767.90049</v>
      </c>
      <c r="I7" s="156"/>
    </row>
    <row r="8" spans="1:9" x14ac:dyDescent="0.3">
      <c r="A8" s="49" t="s">
        <v>40</v>
      </c>
      <c r="B8" s="51"/>
      <c r="C8" s="52">
        <f>'Travel Time Tug Boat'!T74</f>
        <v>175178829.37771004</v>
      </c>
      <c r="D8" s="156"/>
      <c r="F8" s="49"/>
      <c r="G8" s="51"/>
      <c r="H8" s="52"/>
      <c r="I8" s="156"/>
    </row>
    <row r="9" spans="1:9" ht="28" x14ac:dyDescent="0.3">
      <c r="A9" s="50" t="s">
        <v>60</v>
      </c>
      <c r="B9" s="31"/>
      <c r="C9" s="16">
        <f>'Wind Energy Emissions'!T76</f>
        <v>7377764675.8552055</v>
      </c>
      <c r="D9" s="156"/>
      <c r="F9" s="49"/>
      <c r="G9" s="31"/>
      <c r="H9" s="16"/>
      <c r="I9" s="156"/>
    </row>
    <row r="10" spans="1:9" x14ac:dyDescent="0.3">
      <c r="A10" s="151" t="s">
        <v>112</v>
      </c>
      <c r="B10" s="152"/>
      <c r="C10" s="153">
        <f>'Residual Value'!G7</f>
        <v>236000000</v>
      </c>
      <c r="D10" s="156"/>
      <c r="F10" s="154"/>
      <c r="G10" s="152"/>
      <c r="H10" s="153"/>
      <c r="I10" s="156"/>
    </row>
    <row r="11" spans="1:9" x14ac:dyDescent="0.3">
      <c r="A11" s="29" t="s">
        <v>13</v>
      </c>
      <c r="B11" s="30">
        <f>SUM(B6:B9)</f>
        <v>677785734.55500603</v>
      </c>
      <c r="C11" s="30">
        <f>SUM(C7:C10)</f>
        <v>7857319456.099719</v>
      </c>
      <c r="D11" s="157"/>
      <c r="F11" s="29" t="s">
        <v>13</v>
      </c>
      <c r="G11" s="53">
        <f>SUM(G6:G9)</f>
        <v>677785734.55500603</v>
      </c>
      <c r="H11" s="30">
        <f>SUM(H6:H9)</f>
        <v>26041284767.90049</v>
      </c>
      <c r="I11" s="157"/>
    </row>
    <row r="12" spans="1:9" x14ac:dyDescent="0.3">
      <c r="A12" s="49" t="s">
        <v>14</v>
      </c>
      <c r="B12" s="31"/>
      <c r="C12" s="31"/>
      <c r="D12" s="54">
        <f>C11/B11</f>
        <v>11.592630318869679</v>
      </c>
      <c r="F12" s="49" t="s">
        <v>14</v>
      </c>
      <c r="G12" s="31"/>
      <c r="H12" s="31"/>
      <c r="I12" s="54">
        <f>H11/G11</f>
        <v>38.421116645362353</v>
      </c>
    </row>
  </sheetData>
  <mergeCells count="6">
    <mergeCell ref="F1:I1"/>
    <mergeCell ref="A1:D1"/>
    <mergeCell ref="A2:D3"/>
    <mergeCell ref="A4:D4"/>
    <mergeCell ref="F2:I3"/>
    <mergeCell ref="F4:I4"/>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Summary</vt:lpstr>
      <vt:lpstr>Initial Capital Cost</vt:lpstr>
      <vt:lpstr>Tug Boat Emissions</vt:lpstr>
      <vt:lpstr>Travel Time Tug Boat</vt:lpstr>
      <vt:lpstr>Wind Energy Emissions</vt:lpstr>
      <vt:lpstr>Residual Value</vt:lpstr>
      <vt:lpstr>MT Per GW Emissions</vt:lpstr>
      <vt:lpstr>Turbines and MW</vt:lpstr>
      <vt:lpstr>Benefit Cost Ratio</vt:lpstr>
      <vt:lpstr>Summary!_ftn2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Cumber, Husein</dc:creator>
  <cp:lastModifiedBy>LeAnna Cumber</cp:lastModifiedBy>
  <cp:lastPrinted>2018-06-27T00:01:19Z</cp:lastPrinted>
  <dcterms:created xsi:type="dcterms:W3CDTF">2014-04-25T18:08:06Z</dcterms:created>
  <dcterms:modified xsi:type="dcterms:W3CDTF">2024-05-06T13:47:23Z</dcterms:modified>
</cp:coreProperties>
</file>